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<sst xmlns="http://schemas.openxmlformats.org/spreadsheetml/2006/main" count="205" uniqueCount="134">
  <si>
    <t>PSE</t>
  </si>
  <si>
    <t>SD</t>
  </si>
  <si>
    <t>M</t>
  </si>
  <si>
    <t>LS</t>
  </si>
  <si>
    <t>RL</t>
  </si>
  <si>
    <t>M=</t>
  </si>
  <si>
    <t>SD=</t>
  </si>
  <si>
    <t>a</t>
  </si>
  <si>
    <t>b</t>
  </si>
  <si>
    <t>Perc</t>
  </si>
  <si>
    <t>Resp</t>
  </si>
  <si>
    <t>Fit</t>
  </si>
  <si>
    <t>A</t>
  </si>
  <si>
    <t>D</t>
  </si>
  <si>
    <t>Three</t>
  </si>
  <si>
    <t>Five</t>
  </si>
  <si>
    <t>Seven</t>
  </si>
  <si>
    <t>I</t>
  </si>
  <si>
    <t>H</t>
  </si>
  <si>
    <t>G</t>
  </si>
  <si>
    <t>F</t>
  </si>
  <si>
    <t>E</t>
  </si>
  <si>
    <t>C</t>
  </si>
  <si>
    <t>B</t>
  </si>
  <si>
    <t>PB</t>
  </si>
  <si>
    <t>RB</t>
  </si>
  <si>
    <t>X</t>
  </si>
  <si>
    <t>m</t>
  </si>
  <si>
    <t>Nine</t>
  </si>
  <si>
    <t>i</t>
  </si>
  <si>
    <t>h</t>
  </si>
  <si>
    <t>g</t>
  </si>
  <si>
    <t>f</t>
  </si>
  <si>
    <t>e</t>
  </si>
  <si>
    <t>d</t>
  </si>
  <si>
    <t>c</t>
  </si>
  <si>
    <t>Sum</t>
  </si>
  <si>
    <t>SE</t>
  </si>
  <si>
    <t>CI lower</t>
  </si>
  <si>
    <t>CI upper</t>
  </si>
  <si>
    <t>TM=transection mossa</t>
  </si>
  <si>
    <t>A=transection contigua alla mossa, con probabilita' piu' lontana.</t>
  </si>
  <si>
    <t>TM</t>
  </si>
  <si>
    <t>p(TM)</t>
  </si>
  <si>
    <t>p(A)</t>
  </si>
  <si>
    <t>P</t>
  </si>
  <si>
    <t>1-P</t>
  </si>
  <si>
    <t>cum(p)</t>
  </si>
  <si>
    <t>cum(1-p)</t>
  </si>
  <si>
    <t>sum</t>
  </si>
  <si>
    <t>product</t>
  </si>
  <si>
    <t>boe</t>
  </si>
  <si>
    <t>mossi</t>
  </si>
  <si>
    <t>cum(boe)</t>
  </si>
  <si>
    <t>da prendere</t>
  </si>
  <si>
    <t>Y regr.</t>
  </si>
  <si>
    <t>REGRESSIONE</t>
  </si>
  <si>
    <t>Slope</t>
  </si>
  <si>
    <t>Intercept</t>
  </si>
  <si>
    <t>Media</t>
  </si>
  <si>
    <t>Contazeri</t>
  </si>
  <si>
    <t>Contauno</t>
  </si>
  <si>
    <t>x</t>
  </si>
  <si>
    <t>y pred.</t>
  </si>
  <si>
    <t>scarti quad</t>
  </si>
  <si>
    <t>SSresid=</t>
  </si>
  <si>
    <t>s=</t>
  </si>
  <si>
    <t>df=</t>
  </si>
  <si>
    <t>SSxx=</t>
  </si>
  <si>
    <t>X media</t>
  </si>
  <si>
    <t>Y media</t>
  </si>
  <si>
    <t>t=</t>
  </si>
  <si>
    <t>Quale boa c'e'?</t>
  </si>
  <si>
    <t>Se c'e' una sola boa, qui sopra se c'e' 1 significa che e' la boa dx, se c'e' zero e' la sx.</t>
  </si>
  <si>
    <t>K</t>
  </si>
  <si>
    <t>N</t>
  </si>
  <si>
    <t>SPIEGAZIONI:</t>
  </si>
  <si>
    <t>PSE=</t>
  </si>
  <si>
    <t>C.I. For M</t>
  </si>
  <si>
    <t>da prendere (boe + mossi)</t>
  </si>
  <si>
    <t>cum(mossi)</t>
  </si>
  <si>
    <t>cum(mossi)^-1</t>
  </si>
  <si>
    <t>cum(boe)^-1</t>
  </si>
  <si>
    <t>pesi relativi</t>
  </si>
  <si>
    <t>alfa=.0253</t>
  </si>
  <si>
    <t>alfa=.0254</t>
  </si>
  <si>
    <t>alfa=.0255</t>
  </si>
  <si>
    <t>alfa=.05</t>
  </si>
  <si>
    <t>Coi punti z</t>
  </si>
  <si>
    <t>Con le probabilita'</t>
  </si>
  <si>
    <t>Probit</t>
  </si>
  <si>
    <t>boe=ultimo zero da sx a dx, ultimo 1 da dx a sx</t>
  </si>
  <si>
    <t>mossi puri = p diversi da 0 e da 1</t>
  </si>
  <si>
    <t>mossi = punti non ignoti compresi tra le due boe. Possono essere anche 0 ed 1.</t>
  </si>
  <si>
    <t>Coi pesi relativi (qui a dx) E' LA STESSA COSA, CRETINO!!!! Se hai due boe, la somma e' sempre 1, pirla!</t>
  </si>
  <si>
    <t>CI(PB)</t>
  </si>
  <si>
    <t>PB prime</t>
  </si>
  <si>
    <t>boe nere o bianche</t>
  </si>
  <si>
    <t>a' dalla Probit</t>
  </si>
  <si>
    <t>b' dalla Probit</t>
  </si>
  <si>
    <t>Input per Probit</t>
  </si>
  <si>
    <t>E' meglio 2 in A7 per la seguente logica: prima si da' 1.645 agli 0 ed 1 compresi tra p mosse, perche' e' evidente che non possono essere troppo mossi. Le boe si aggiungono dopo, e servono solo a non fare impazzire la regressione. Per questo vengono messe a 2, per garantire un po' di piu' il non impazzimento, ma non troppo in la', altrimenti i punti mossi, che sono cruciali, perdono peso relativo. Inoltre uno z non troppo lontano da zero, if anything, compensa un po' la sottostima di SD che le p (biased) forniscono.</t>
  </si>
  <si>
    <t>CI(PSE)</t>
  </si>
  <si>
    <t>1 sessione</t>
  </si>
  <si>
    <t>2 sessione</t>
  </si>
  <si>
    <t>3sessione</t>
  </si>
  <si>
    <t>prime due</t>
  </si>
  <si>
    <t>globale</t>
  </si>
  <si>
    <t>CI(M)</t>
  </si>
  <si>
    <t>Tot boe nere naturali</t>
  </si>
  <si>
    <t>Tot boe nere naturali e artificiali</t>
  </si>
  <si>
    <t>s</t>
  </si>
  <si>
    <t>intercept</t>
  </si>
  <si>
    <t>Expected</t>
  </si>
  <si>
    <t>Number of testing sessions</t>
  </si>
  <si>
    <t>(1,2 or 3)</t>
  </si>
  <si>
    <t>inf</t>
  </si>
  <si>
    <t>sup</t>
  </si>
  <si>
    <t>CI(pse)</t>
  </si>
  <si>
    <t>Ci(pb)</t>
  </si>
  <si>
    <t>IC antico (errato?)che considerava l'errore attorno alla normale cumulativa.</t>
  </si>
  <si>
    <t>alien points</t>
  </si>
  <si>
    <t>da prendere per le aree, compresi i punti alieni tra boe e mossi</t>
  </si>
  <si>
    <t>inamovibili sx, + boa sx</t>
  </si>
  <si>
    <t>inamovibili dx, + boa dx</t>
  </si>
  <si>
    <t>inamovibili</t>
  </si>
  <si>
    <t>alieni</t>
  </si>
  <si>
    <t>alieni=punti con p ignoto (0/0)</t>
  </si>
  <si>
    <t>inamovibili = ignoti compresi tra una boa e un mosso, quando ci sono almeno due mossi</t>
  </si>
  <si>
    <t>boe bianche=I due punti piu' interni, nell'insieme delle boe+alieni tra boe e mossi se almeno due mossi</t>
  </si>
  <si>
    <t>Results of Bisiach et al.'s (1998) method</t>
  </si>
  <si>
    <t>Results of the new method (Toraldo et al., 2004)</t>
  </si>
  <si>
    <t>Ratio Se/range</t>
  </si>
  <si>
    <t>mm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</si>
</sst>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"/>
    <numFmt numFmtId="188" formatCode="0.0000"/>
    <numFmt numFmtId="189" formatCode="0.00000"/>
    <numFmt numFmtId="190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5" fillId="2" borderId="4" xfId="0" applyNumberFormat="1" applyFont="1" applyFill="1" applyBorder="1" applyAlignment="1">
      <alignment/>
    </xf>
    <xf numFmtId="1" fontId="5" fillId="2" borderId="0" xfId="0" applyNumberFormat="1" applyFont="1" applyFill="1" applyAlignment="1">
      <alignment/>
    </xf>
    <xf numFmtId="188" fontId="5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3" borderId="8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Fill="1" applyBorder="1" applyAlignment="1">
      <alignment/>
    </xf>
    <xf numFmtId="18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4" borderId="12" xfId="0" applyFont="1" applyFill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4" borderId="5" xfId="0" applyFont="1" applyFill="1" applyBorder="1" applyAlignment="1">
      <alignment/>
    </xf>
    <xf numFmtId="0" fontId="7" fillId="0" borderId="6" xfId="0" applyFont="1" applyBorder="1" applyAlignment="1">
      <alignment/>
    </xf>
    <xf numFmtId="0" fontId="7" fillId="5" borderId="8" xfId="0" applyFont="1" applyFill="1" applyBorder="1" applyAlignment="1">
      <alignment horizontal="right"/>
    </xf>
    <xf numFmtId="0" fontId="6" fillId="5" borderId="14" xfId="0" applyFont="1" applyFill="1" applyBorder="1" applyAlignment="1">
      <alignment/>
    </xf>
    <xf numFmtId="0" fontId="7" fillId="5" borderId="14" xfId="0" applyFont="1" applyFill="1" applyBorder="1" applyAlignment="1">
      <alignment horizontal="right"/>
    </xf>
    <xf numFmtId="0" fontId="6" fillId="5" borderId="15" xfId="0" applyFont="1" applyFill="1" applyBorder="1" applyAlignment="1">
      <alignment/>
    </xf>
    <xf numFmtId="0" fontId="7" fillId="6" borderId="16" xfId="0" applyFont="1" applyFill="1" applyBorder="1" applyAlignment="1">
      <alignment horizontal="right"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/>
    </xf>
    <xf numFmtId="0" fontId="6" fillId="6" borderId="7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/>
    </xf>
    <xf numFmtId="0" fontId="6" fillId="4" borderId="7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7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right"/>
    </xf>
    <xf numFmtId="0" fontId="6" fillId="2" borderId="11" xfId="0" applyFont="1" applyFill="1" applyBorder="1" applyAlignment="1">
      <alignment/>
    </xf>
    <xf numFmtId="0" fontId="6" fillId="6" borderId="0" xfId="0" applyFont="1" applyFill="1" applyAlignment="1" quotePrefix="1">
      <alignment horizontal="right"/>
    </xf>
    <xf numFmtId="0" fontId="6" fillId="7" borderId="18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0" xfId="0" applyFont="1" applyFill="1" applyAlignment="1">
      <alignment/>
    </xf>
    <xf numFmtId="1" fontId="6" fillId="2" borderId="0" xfId="0" applyNumberFormat="1" applyFont="1" applyFill="1" applyAlignment="1">
      <alignment/>
    </xf>
    <xf numFmtId="0" fontId="6" fillId="6" borderId="0" xfId="0" applyFont="1" applyFill="1" applyAlignment="1">
      <alignment horizontal="left"/>
    </xf>
    <xf numFmtId="1" fontId="6" fillId="0" borderId="0" xfId="0" applyNumberFormat="1" applyFont="1" applyAlignment="1">
      <alignment/>
    </xf>
    <xf numFmtId="187" fontId="6" fillId="2" borderId="1" xfId="0" applyNumberFormat="1" applyFont="1" applyFill="1" applyBorder="1" applyAlignment="1">
      <alignment/>
    </xf>
    <xf numFmtId="187" fontId="6" fillId="2" borderId="2" xfId="0" applyNumberFormat="1" applyFont="1" applyFill="1" applyBorder="1" applyAlignment="1">
      <alignment/>
    </xf>
    <xf numFmtId="187" fontId="6" fillId="2" borderId="3" xfId="0" applyNumberFormat="1" applyFont="1" applyFill="1" applyBorder="1" applyAlignment="1">
      <alignment/>
    </xf>
    <xf numFmtId="187" fontId="6" fillId="2" borderId="4" xfId="0" applyNumberFormat="1" applyFont="1" applyFill="1" applyBorder="1" applyAlignment="1">
      <alignment/>
    </xf>
    <xf numFmtId="0" fontId="6" fillId="6" borderId="20" xfId="0" applyFont="1" applyFill="1" applyBorder="1" applyAlignment="1">
      <alignment/>
    </xf>
    <xf numFmtId="0" fontId="6" fillId="6" borderId="5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6" borderId="8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6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2" borderId="22" xfId="0" applyFont="1" applyFill="1" applyBorder="1" applyAlignment="1">
      <alignment/>
    </xf>
    <xf numFmtId="0" fontId="6" fillId="2" borderId="23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21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23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2" borderId="27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2" borderId="26" xfId="0" applyFont="1" applyFill="1" applyBorder="1" applyAlignment="1">
      <alignment/>
    </xf>
    <xf numFmtId="0" fontId="7" fillId="2" borderId="30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5" borderId="6" xfId="0" applyFont="1" applyFill="1" applyBorder="1" applyAlignment="1">
      <alignment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0" fontId="6" fillId="5" borderId="31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33" xfId="0" applyFont="1" applyFill="1" applyBorder="1" applyAlignment="1">
      <alignment/>
    </xf>
    <xf numFmtId="0" fontId="6" fillId="5" borderId="34" xfId="0" applyFont="1" applyFill="1" applyBorder="1" applyAlignment="1">
      <alignment/>
    </xf>
    <xf numFmtId="0" fontId="6" fillId="5" borderId="7" xfId="0" applyFont="1" applyFill="1" applyBorder="1" applyAlignment="1">
      <alignment/>
    </xf>
    <xf numFmtId="0" fontId="6" fillId="5" borderId="35" xfId="0" applyFont="1" applyFill="1" applyBorder="1" applyAlignment="1">
      <alignment/>
    </xf>
    <xf numFmtId="0" fontId="6" fillId="5" borderId="36" xfId="0" applyFont="1" applyFill="1" applyBorder="1" applyAlignment="1">
      <alignment/>
    </xf>
    <xf numFmtId="0" fontId="6" fillId="5" borderId="11" xfId="0" applyFont="1" applyFill="1" applyBorder="1" applyAlignment="1">
      <alignment/>
    </xf>
    <xf numFmtId="0" fontId="6" fillId="5" borderId="37" xfId="0" applyFont="1" applyFill="1" applyBorder="1" applyAlignment="1">
      <alignment/>
    </xf>
    <xf numFmtId="0" fontId="6" fillId="5" borderId="38" xfId="0" applyFont="1" applyFill="1" applyBorder="1" applyAlignment="1">
      <alignment/>
    </xf>
    <xf numFmtId="0" fontId="6" fillId="5" borderId="39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40" xfId="0" applyFont="1" applyFill="1" applyBorder="1" applyAlignment="1">
      <alignment/>
    </xf>
    <xf numFmtId="0" fontId="6" fillId="5" borderId="41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6" fillId="5" borderId="10" xfId="0" applyFont="1" applyFill="1" applyBorder="1" applyAlignment="1">
      <alignment/>
    </xf>
    <xf numFmtId="0" fontId="6" fillId="5" borderId="42" xfId="0" applyFont="1" applyFill="1" applyBorder="1" applyAlignment="1">
      <alignment/>
    </xf>
    <xf numFmtId="0" fontId="6" fillId="5" borderId="9" xfId="0" applyFont="1" applyFill="1" applyBorder="1" applyAlignment="1">
      <alignment/>
    </xf>
    <xf numFmtId="0" fontId="6" fillId="5" borderId="43" xfId="0" applyFont="1" applyFill="1" applyBorder="1" applyAlignment="1">
      <alignment/>
    </xf>
    <xf numFmtId="0" fontId="6" fillId="5" borderId="20" xfId="0" applyFont="1" applyFill="1" applyBorder="1" applyAlignment="1">
      <alignment/>
    </xf>
    <xf numFmtId="0" fontId="6" fillId="5" borderId="44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6" fillId="5" borderId="4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6" fillId="6" borderId="46" xfId="0" applyFont="1" applyFill="1" applyBorder="1" applyAlignment="1">
      <alignment/>
    </xf>
    <xf numFmtId="0" fontId="6" fillId="6" borderId="13" xfId="0" applyFont="1" applyFill="1" applyBorder="1" applyAlignment="1">
      <alignment/>
    </xf>
    <xf numFmtId="0" fontId="6" fillId="6" borderId="45" xfId="0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1" xfId="0" applyFont="1" applyFill="1" applyBorder="1" applyAlignment="1">
      <alignment/>
    </xf>
    <xf numFmtId="0" fontId="4" fillId="5" borderId="14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6" borderId="0" xfId="0" applyFont="1" applyFill="1" applyAlignment="1">
      <alignment/>
    </xf>
    <xf numFmtId="0" fontId="4" fillId="0" borderId="5" xfId="0" applyFont="1" applyBorder="1" applyAlignment="1">
      <alignment/>
    </xf>
    <xf numFmtId="0" fontId="4" fillId="5" borderId="0" xfId="0" applyFont="1" applyFill="1" applyBorder="1" applyAlignment="1">
      <alignment/>
    </xf>
    <xf numFmtId="0" fontId="4" fillId="5" borderId="5" xfId="0" applyFont="1" applyFill="1" applyBorder="1" applyAlignment="1">
      <alignment/>
    </xf>
    <xf numFmtId="0" fontId="4" fillId="5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6" fillId="3" borderId="13" xfId="0" applyFont="1" applyFill="1" applyBorder="1" applyAlignment="1">
      <alignment/>
    </xf>
    <xf numFmtId="0" fontId="6" fillId="0" borderId="4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6" fillId="5" borderId="32" xfId="0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/>
    </xf>
    <xf numFmtId="0" fontId="6" fillId="5" borderId="37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3" borderId="20" xfId="0" applyFont="1" applyFill="1" applyBorder="1" applyAlignment="1">
      <alignment/>
    </xf>
    <xf numFmtId="2" fontId="4" fillId="8" borderId="9" xfId="0" applyNumberFormat="1" applyFont="1" applyFill="1" applyBorder="1" applyAlignment="1">
      <alignment horizontal="center"/>
    </xf>
    <xf numFmtId="2" fontId="4" fillId="8" borderId="11" xfId="0" applyNumberFormat="1" applyFont="1" applyFill="1" applyBorder="1" applyAlignment="1">
      <alignment horizontal="center"/>
    </xf>
    <xf numFmtId="189" fontId="6" fillId="3" borderId="47" xfId="0" applyNumberFormat="1" applyFont="1" applyFill="1" applyBorder="1" applyAlignment="1">
      <alignment/>
    </xf>
    <xf numFmtId="189" fontId="6" fillId="3" borderId="13" xfId="0" applyNumberFormat="1" applyFont="1" applyFill="1" applyBorder="1" applyAlignment="1">
      <alignment/>
    </xf>
    <xf numFmtId="189" fontId="6" fillId="3" borderId="8" xfId="0" applyNumberFormat="1" applyFont="1" applyFill="1" applyBorder="1" applyAlignment="1">
      <alignment horizontal="center"/>
    </xf>
    <xf numFmtId="189" fontId="6" fillId="3" borderId="7" xfId="0" applyNumberFormat="1" applyFont="1" applyFill="1" applyBorder="1" applyAlignment="1">
      <alignment/>
    </xf>
    <xf numFmtId="189" fontId="6" fillId="3" borderId="16" xfId="0" applyNumberFormat="1" applyFont="1" applyFill="1" applyBorder="1" applyAlignment="1">
      <alignment horizontal="center"/>
    </xf>
    <xf numFmtId="189" fontId="6" fillId="3" borderId="7" xfId="0" applyNumberFormat="1" applyFont="1" applyFill="1" applyBorder="1" applyAlignment="1">
      <alignment horizontal="center"/>
    </xf>
    <xf numFmtId="189" fontId="6" fillId="3" borderId="9" xfId="0" applyNumberFormat="1" applyFont="1" applyFill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7" fillId="0" borderId="0" xfId="0" applyNumberFormat="1" applyFont="1" applyBorder="1" applyAlignment="1">
      <alignment/>
    </xf>
    <xf numFmtId="189" fontId="6" fillId="0" borderId="0" xfId="0" applyNumberFormat="1" applyFont="1" applyBorder="1" applyAlignment="1">
      <alignment/>
    </xf>
    <xf numFmtId="189" fontId="6" fillId="3" borderId="8" xfId="0" applyNumberFormat="1" applyFont="1" applyFill="1" applyBorder="1" applyAlignment="1">
      <alignment horizontal="right"/>
    </xf>
    <xf numFmtId="189" fontId="6" fillId="3" borderId="9" xfId="0" applyNumberFormat="1" applyFont="1" applyFill="1" applyBorder="1" applyAlignment="1">
      <alignment horizontal="right"/>
    </xf>
    <xf numFmtId="189" fontId="6" fillId="3" borderId="8" xfId="0" applyNumberFormat="1" applyFont="1" applyFill="1" applyBorder="1" applyAlignment="1">
      <alignment/>
    </xf>
    <xf numFmtId="189" fontId="6" fillId="3" borderId="15" xfId="0" applyNumberFormat="1" applyFont="1" applyFill="1" applyBorder="1" applyAlignment="1">
      <alignment/>
    </xf>
    <xf numFmtId="2" fontId="4" fillId="8" borderId="15" xfId="0" applyNumberFormat="1" applyFont="1" applyFill="1" applyBorder="1" applyAlignment="1">
      <alignment horizontal="center"/>
    </xf>
    <xf numFmtId="2" fontId="6" fillId="3" borderId="7" xfId="0" applyNumberFormat="1" applyFont="1" applyFill="1" applyBorder="1" applyAlignment="1">
      <alignment/>
    </xf>
    <xf numFmtId="2" fontId="6" fillId="3" borderId="7" xfId="0" applyNumberFormat="1" applyFont="1" applyFill="1" applyBorder="1" applyAlignment="1">
      <alignment horizontal="center"/>
    </xf>
    <xf numFmtId="2" fontId="4" fillId="8" borderId="0" xfId="0" applyNumberFormat="1" applyFont="1" applyFill="1" applyBorder="1" applyAlignment="1">
      <alignment horizontal="center"/>
    </xf>
    <xf numFmtId="187" fontId="4" fillId="8" borderId="7" xfId="0" applyNumberFormat="1" applyFont="1" applyFill="1" applyBorder="1" applyAlignment="1">
      <alignment horizontal="center"/>
    </xf>
    <xf numFmtId="189" fontId="4" fillId="3" borderId="8" xfId="0" applyNumberFormat="1" applyFont="1" applyFill="1" applyBorder="1" applyAlignment="1">
      <alignment/>
    </xf>
    <xf numFmtId="189" fontId="6" fillId="3" borderId="14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center"/>
    </xf>
    <xf numFmtId="2" fontId="4" fillId="8" borderId="10" xfId="0" applyNumberFormat="1" applyFont="1" applyFill="1" applyBorder="1" applyAlignment="1">
      <alignment horizontal="center"/>
    </xf>
    <xf numFmtId="189" fontId="6" fillId="3" borderId="0" xfId="0" applyNumberFormat="1" applyFont="1" applyFill="1" applyBorder="1" applyAlignment="1">
      <alignment horizontal="left"/>
    </xf>
    <xf numFmtId="189" fontId="6" fillId="3" borderId="0" xfId="0" applyNumberFormat="1" applyFont="1" applyFill="1" applyBorder="1" applyAlignment="1">
      <alignment horizontal="center"/>
    </xf>
    <xf numFmtId="187" fontId="4" fillId="8" borderId="0" xfId="0" applyNumberFormat="1" applyFont="1" applyFill="1" applyBorder="1" applyAlignment="1">
      <alignment horizontal="center"/>
    </xf>
    <xf numFmtId="189" fontId="4" fillId="3" borderId="9" xfId="0" applyNumberFormat="1" applyFont="1" applyFill="1" applyBorder="1" applyAlignment="1">
      <alignment/>
    </xf>
    <xf numFmtId="189" fontId="6" fillId="3" borderId="10" xfId="0" applyNumberFormat="1" applyFont="1" applyFill="1" applyBorder="1" applyAlignment="1">
      <alignment/>
    </xf>
    <xf numFmtId="2" fontId="6" fillId="3" borderId="0" xfId="0" applyNumberFormat="1" applyFont="1" applyFill="1" applyBorder="1" applyAlignment="1">
      <alignment/>
    </xf>
    <xf numFmtId="2" fontId="4" fillId="8" borderId="14" xfId="0" applyNumberFormat="1" applyFont="1" applyFill="1" applyBorder="1" applyAlignment="1">
      <alignment horizontal="center"/>
    </xf>
    <xf numFmtId="0" fontId="4" fillId="8" borderId="15" xfId="0" applyFont="1" applyFill="1" applyBorder="1" applyAlignment="1">
      <alignment/>
    </xf>
    <xf numFmtId="0" fontId="4" fillId="8" borderId="7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7" borderId="12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/>
      <protection locked="0"/>
    </xf>
    <xf numFmtId="0" fontId="6" fillId="7" borderId="15" xfId="0" applyFont="1" applyFill="1" applyBorder="1" applyAlignment="1" applyProtection="1">
      <alignment/>
      <protection locked="0"/>
    </xf>
    <xf numFmtId="0" fontId="6" fillId="7" borderId="16" xfId="0" applyFont="1" applyFill="1" applyBorder="1" applyAlignment="1" applyProtection="1">
      <alignment/>
      <protection locked="0"/>
    </xf>
    <xf numFmtId="0" fontId="6" fillId="7" borderId="7" xfId="0" applyFont="1" applyFill="1" applyBorder="1" applyAlignment="1" applyProtection="1">
      <alignment/>
      <protection locked="0"/>
    </xf>
    <xf numFmtId="0" fontId="6" fillId="7" borderId="9" xfId="0" applyFont="1" applyFill="1" applyBorder="1" applyAlignment="1" applyProtection="1">
      <alignment/>
      <protection locked="0"/>
    </xf>
    <xf numFmtId="0" fontId="6" fillId="7" borderId="11" xfId="0" applyFont="1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Sheet3!$B$75:$B$111</c:f>
              <c:numCache/>
            </c:numRef>
          </c:xVal>
          <c:yVal>
            <c:numRef>
              <c:f>Sheet3!$D$75:$D$111</c:f>
              <c:numCache/>
            </c:numRef>
          </c:yVal>
          <c:smooth val="0"/>
        </c:ser>
        <c:axId val="25684729"/>
        <c:axId val="29835970"/>
      </c:scatterChart>
      <c:valAx>
        <c:axId val="25684729"/>
        <c:scaling>
          <c:orientation val="minMax"/>
          <c:max val="90"/>
          <c:min val="-90"/>
        </c:scaling>
        <c:axPos val="b"/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crossBetween val="midCat"/>
        <c:dispUnits/>
        <c:majorUnit val="30"/>
      </c:valAx>
      <c:valAx>
        <c:axId val="29835970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95250</xdr:rowOff>
    </xdr:from>
    <xdr:to>
      <xdr:col>6</xdr:col>
      <xdr:colOff>95250</xdr:colOff>
      <xdr:row>20</xdr:row>
      <xdr:rowOff>0</xdr:rowOff>
    </xdr:to>
    <xdr:graphicFrame>
      <xdr:nvGraphicFramePr>
        <xdr:cNvPr id="1" name="Chart 3"/>
        <xdr:cNvGraphicFramePr/>
      </xdr:nvGraphicFramePr>
      <xdr:xfrm>
        <a:off x="66675" y="981075"/>
        <a:ext cx="3219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V333"/>
  <sheetViews>
    <sheetView tabSelected="1" workbookViewId="0" topLeftCell="A1">
      <selection activeCell="I3" sqref="I3"/>
    </sheetView>
  </sheetViews>
  <sheetFormatPr defaultColWidth="9.140625" defaultRowHeight="12.75"/>
  <cols>
    <col min="1" max="1" width="2.7109375" style="19" customWidth="1"/>
    <col min="2" max="2" width="20.00390625" style="10" customWidth="1"/>
    <col min="3" max="3" width="3.28125" style="15" customWidth="1"/>
    <col min="4" max="4" width="16.8515625" style="10" customWidth="1"/>
    <col min="5" max="5" width="2.57421875" style="10" customWidth="1"/>
    <col min="6" max="6" width="2.421875" style="11" customWidth="1"/>
    <col min="7" max="7" width="2.421875" style="10" customWidth="1"/>
    <col min="8" max="8" width="6.8515625" style="19" customWidth="1"/>
    <col min="9" max="10" width="4.7109375" style="10" customWidth="1"/>
    <col min="11" max="11" width="1.1484375" style="11" customWidth="1"/>
    <col min="12" max="12" width="1.1484375" style="12" customWidth="1"/>
    <col min="13" max="17" width="1.1484375" style="11" customWidth="1"/>
    <col min="18" max="18" width="9.28125" style="11" customWidth="1"/>
    <col min="19" max="19" width="11.421875" style="11" customWidth="1"/>
    <col min="20" max="20" width="4.421875" style="11" customWidth="1"/>
    <col min="21" max="21" width="9.00390625" style="11" customWidth="1"/>
    <col min="22" max="22" width="6.140625" style="11" customWidth="1"/>
    <col min="23" max="23" width="6.00390625" style="11" customWidth="1"/>
    <col min="24" max="24" width="6.8515625" style="11" customWidth="1"/>
    <col min="25" max="25" width="5.00390625" style="11" customWidth="1"/>
    <col min="26" max="26" width="6.421875" style="11" customWidth="1"/>
    <col min="27" max="27" width="6.140625" style="11" customWidth="1"/>
    <col min="28" max="30" width="5.57421875" style="11" customWidth="1"/>
    <col min="31" max="31" width="6.7109375" style="11" customWidth="1"/>
    <col min="32" max="32" width="5.57421875" style="11" customWidth="1"/>
    <col min="33" max="33" width="6.28125" style="11" customWidth="1"/>
    <col min="34" max="40" width="5.57421875" style="11" customWidth="1"/>
    <col min="41" max="41" width="6.7109375" style="11" customWidth="1"/>
    <col min="42" max="50" width="5.57421875" style="11" customWidth="1"/>
    <col min="51" max="51" width="6.7109375" style="11" customWidth="1"/>
    <col min="52" max="60" width="5.57421875" style="11" customWidth="1"/>
    <col min="61" max="61" width="6.7109375" style="11" customWidth="1"/>
    <col min="62" max="70" width="5.57421875" style="11" customWidth="1"/>
    <col min="71" max="71" width="6.7109375" style="11" customWidth="1"/>
    <col min="72" max="74" width="5.57421875" style="11" customWidth="1"/>
    <col min="75" max="75" width="5.7109375" style="11" customWidth="1"/>
    <col min="76" max="76" width="6.28125" style="11" customWidth="1"/>
    <col min="77" max="77" width="5.7109375" style="11" customWidth="1"/>
    <col min="78" max="80" width="5.57421875" style="11" customWidth="1"/>
    <col min="81" max="81" width="6.7109375" style="11" customWidth="1"/>
    <col min="82" max="84" width="5.57421875" style="11" customWidth="1"/>
    <col min="85" max="85" width="5.421875" style="11" customWidth="1"/>
    <col min="86" max="86" width="5.57421875" style="11" customWidth="1"/>
    <col min="87" max="87" width="5.28125" style="11" customWidth="1"/>
    <col min="88" max="90" width="5.57421875" style="11" customWidth="1"/>
    <col min="91" max="91" width="6.7109375" style="11" customWidth="1"/>
    <col min="92" max="95" width="5.57421875" style="11" customWidth="1"/>
    <col min="96" max="96" width="7.28125" style="11" customWidth="1"/>
    <col min="97" max="97" width="9.421875" style="11" customWidth="1"/>
    <col min="98" max="100" width="5.57421875" style="11" customWidth="1"/>
    <col min="101" max="101" width="6.7109375" style="11" customWidth="1"/>
    <col min="102" max="105" width="5.57421875" style="11" customWidth="1"/>
    <col min="106" max="106" width="6.00390625" style="11" customWidth="1"/>
    <col min="107" max="110" width="5.57421875" style="11" customWidth="1"/>
    <col min="111" max="111" width="6.7109375" style="11" customWidth="1"/>
    <col min="112" max="114" width="5.57421875" style="11" customWidth="1"/>
    <col min="115" max="115" width="5.140625" style="11" customWidth="1"/>
    <col min="116" max="120" width="5.57421875" style="11" customWidth="1"/>
    <col min="121" max="121" width="6.7109375" style="11" customWidth="1"/>
    <col min="122" max="122" width="8.8515625" style="11" customWidth="1"/>
    <col min="123" max="124" width="5.57421875" style="11" customWidth="1"/>
    <col min="125" max="125" width="6.28125" style="11" customWidth="1"/>
    <col min="126" max="130" width="5.57421875" style="11" customWidth="1"/>
    <col min="131" max="131" width="6.7109375" style="11" customWidth="1"/>
    <col min="132" max="134" width="5.57421875" style="11" customWidth="1"/>
    <col min="135" max="135" width="6.57421875" style="11" customWidth="1"/>
    <col min="136" max="140" width="5.57421875" style="11" customWidth="1"/>
    <col min="141" max="141" width="6.7109375" style="11" customWidth="1"/>
    <col min="142" max="144" width="5.57421875" style="11" customWidth="1"/>
    <col min="145" max="145" width="6.140625" style="11" customWidth="1"/>
    <col min="146" max="146" width="5.57421875" style="11" customWidth="1"/>
    <col min="147" max="147" width="6.28125" style="11" customWidth="1"/>
    <col min="148" max="150" width="5.57421875" style="11" customWidth="1"/>
    <col min="151" max="151" width="6.7109375" style="11" customWidth="1"/>
    <col min="152" max="154" width="5.57421875" style="11" customWidth="1"/>
    <col min="155" max="155" width="6.00390625" style="11" customWidth="1"/>
    <col min="156" max="160" width="5.57421875" style="11" customWidth="1"/>
    <col min="161" max="161" width="6.7109375" style="11" customWidth="1"/>
    <col min="162" max="170" width="5.57421875" style="11" customWidth="1"/>
    <col min="171" max="171" width="6.7109375" style="11" customWidth="1"/>
    <col min="172" max="176" width="5.57421875" style="11" customWidth="1"/>
    <col min="177" max="177" width="6.28125" style="11" customWidth="1"/>
    <col min="178" max="180" width="5.57421875" style="11" customWidth="1"/>
    <col min="181" max="181" width="6.7109375" style="11" customWidth="1"/>
    <col min="182" max="184" width="5.57421875" style="11" customWidth="1"/>
    <col min="185" max="185" width="6.140625" style="11" customWidth="1"/>
    <col min="186" max="186" width="5.57421875" style="11" customWidth="1"/>
    <col min="187" max="187" width="5.8515625" style="11" customWidth="1"/>
    <col min="188" max="190" width="5.57421875" style="11" customWidth="1"/>
    <col min="191" max="191" width="6.7109375" style="11" customWidth="1"/>
    <col min="192" max="196" width="5.57421875" style="11" customWidth="1"/>
    <col min="197" max="197" width="8.57421875" style="11" customWidth="1"/>
    <col min="198" max="200" width="5.57421875" style="11" customWidth="1"/>
    <col min="201" max="201" width="6.7109375" style="11" customWidth="1"/>
    <col min="202" max="206" width="5.57421875" style="11" customWidth="1"/>
    <col min="207" max="207" width="8.57421875" style="11" customWidth="1"/>
    <col min="208" max="210" width="5.57421875" style="11" customWidth="1"/>
    <col min="211" max="211" width="6.7109375" style="11" customWidth="1"/>
    <col min="212" max="216" width="5.57421875" style="11" customWidth="1"/>
    <col min="217" max="217" width="8.57421875" style="11" customWidth="1"/>
    <col min="218" max="218" width="5.57421875" style="11" customWidth="1"/>
    <col min="219" max="219" width="6.28125" style="11" customWidth="1"/>
    <col min="220" max="220" width="5.57421875" style="11" customWidth="1"/>
    <col min="221" max="221" width="6.7109375" style="11" customWidth="1"/>
    <col min="222" max="226" width="5.57421875" style="11" customWidth="1"/>
    <col min="227" max="227" width="8.57421875" style="11" customWidth="1"/>
    <col min="228" max="230" width="5.57421875" style="11" customWidth="1"/>
    <col min="231" max="231" width="6.7109375" style="11" customWidth="1"/>
    <col min="232" max="236" width="5.57421875" style="11" customWidth="1"/>
    <col min="237" max="237" width="8.57421875" style="11" customWidth="1"/>
    <col min="238" max="240" width="5.57421875" style="11" customWidth="1"/>
    <col min="241" max="241" width="6.7109375" style="11" customWidth="1"/>
    <col min="242" max="246" width="5.57421875" style="11" customWidth="1"/>
    <col min="247" max="247" width="8.57421875" style="11" customWidth="1"/>
    <col min="248" max="250" width="5.57421875" style="11" customWidth="1"/>
    <col min="251" max="251" width="6.7109375" style="11" customWidth="1"/>
    <col min="252" max="16384" width="5.57421875" style="11" customWidth="1"/>
  </cols>
  <sheetData>
    <row r="1" spans="1:18" ht="14.25" thickBot="1">
      <c r="A1" s="8"/>
      <c r="B1" s="9"/>
      <c r="C1" s="9"/>
      <c r="H1" s="170" t="s">
        <v>26</v>
      </c>
      <c r="I1" s="164" t="s">
        <v>3</v>
      </c>
      <c r="J1" s="165" t="s">
        <v>4</v>
      </c>
      <c r="R1" s="13" t="s">
        <v>131</v>
      </c>
    </row>
    <row r="2" spans="1:22" ht="13.5" thickBot="1">
      <c r="A2" s="14"/>
      <c r="B2" s="11"/>
      <c r="C2" s="11"/>
      <c r="E2" s="11"/>
      <c r="F2" s="9"/>
      <c r="G2" s="11"/>
      <c r="H2" s="171">
        <v>-90</v>
      </c>
      <c r="I2" s="11"/>
      <c r="J2" s="16"/>
      <c r="Q2" s="9"/>
      <c r="R2" s="223">
        <f>IF(OR(SUM(S67:T75)&gt;0,D4&gt;3,D4&lt;1),"Data insertion error!","")</f>
      </c>
      <c r="S2" s="224"/>
      <c r="T2" s="204"/>
      <c r="U2" s="204"/>
      <c r="V2" s="205"/>
    </row>
    <row r="3" spans="1:22" ht="13.5" thickBot="1">
      <c r="A3" s="14"/>
      <c r="B3" s="11"/>
      <c r="C3" s="11"/>
      <c r="E3" s="9"/>
      <c r="F3" s="9"/>
      <c r="G3" s="9"/>
      <c r="H3" s="171">
        <v>-60</v>
      </c>
      <c r="I3" s="240">
        <v>6</v>
      </c>
      <c r="J3" s="241">
        <v>6</v>
      </c>
      <c r="Q3" s="9"/>
      <c r="R3" s="206" t="s">
        <v>0</v>
      </c>
      <c r="S3" s="234">
        <f>IF(R2="",IF(Y72=0,"unknown",F71),"Error in data insertion")</f>
        <v>0</v>
      </c>
      <c r="T3" s="235" t="s">
        <v>133</v>
      </c>
      <c r="U3" s="225" t="s">
        <v>102</v>
      </c>
      <c r="V3" s="219"/>
    </row>
    <row r="4" spans="1:22" ht="14.25" thickBot="1">
      <c r="A4" s="8"/>
      <c r="B4" s="166" t="s">
        <v>114</v>
      </c>
      <c r="C4" s="169"/>
      <c r="D4" s="239">
        <v>1</v>
      </c>
      <c r="E4" s="9"/>
      <c r="F4" s="18"/>
      <c r="G4" s="9"/>
      <c r="H4" s="171">
        <v>-30</v>
      </c>
      <c r="I4" s="242">
        <v>6</v>
      </c>
      <c r="J4" s="243">
        <v>6</v>
      </c>
      <c r="K4" s="9"/>
      <c r="Q4" s="9"/>
      <c r="R4" s="208"/>
      <c r="S4" s="233"/>
      <c r="T4" s="237"/>
      <c r="U4" s="226" t="s">
        <v>116</v>
      </c>
      <c r="V4" s="220" t="s">
        <v>117</v>
      </c>
    </row>
    <row r="5" spans="2:23" ht="14.25" thickBot="1">
      <c r="B5" s="167" t="s">
        <v>115</v>
      </c>
      <c r="C5" s="201">
        <f>IF(OR(D4&gt;3,D4&lt;1),"Sorry: 1, 2 or 3 sessions","")</f>
      </c>
      <c r="D5" s="168"/>
      <c r="E5" s="9"/>
      <c r="F5" s="18"/>
      <c r="G5" s="9"/>
      <c r="H5" s="171">
        <v>-15</v>
      </c>
      <c r="I5" s="242">
        <v>6</v>
      </c>
      <c r="J5" s="243">
        <v>6</v>
      </c>
      <c r="Q5" s="9"/>
      <c r="R5" s="208"/>
      <c r="S5" s="233"/>
      <c r="T5" s="237"/>
      <c r="U5" s="227">
        <f>S3-(1+0.0153*(SQRT(D4)-1)/(1-ABS(S7)))*(A127*(B127+$A$125*S6+100*$A$125*ABS(S7)^($B$125*$E$125+$C$125)+$D$125*ABS(S3))/(E125^(1/2)))</f>
        <v>-1.0650360258697034</v>
      </c>
      <c r="V5" s="203">
        <f>S3+(1+0.0153*(SQRT(D4)-1)/(1-ABS(S7)))*(A127*(B127+$A$125*S6+100*$A$125*ABS(S7)^($B$125*$E$125+$C$125)+$D$125*ABS(S3))/(E125^(1/2)))</f>
        <v>1.0650360258697034</v>
      </c>
      <c r="W5" s="9"/>
    </row>
    <row r="6" spans="2:22" ht="13.5">
      <c r="B6" s="11"/>
      <c r="C6" s="11"/>
      <c r="E6" s="9"/>
      <c r="F6" s="18"/>
      <c r="G6" s="9"/>
      <c r="H6" s="171">
        <v>-5</v>
      </c>
      <c r="I6" s="242">
        <v>6</v>
      </c>
      <c r="J6" s="243">
        <v>6</v>
      </c>
      <c r="Q6" s="9"/>
      <c r="R6" s="208" t="s">
        <v>1</v>
      </c>
      <c r="S6" s="221">
        <f>IF(R2="",IF(Y72=0,"unknown",IF(Y73=2,ABS(0.5-NORMDIST(1,0,1,TRUE))/(2/(SUM(H125:H135))),IF(Y73=3,J223,SQRT(M159-S3^2)))),"Error in data insertion")</f>
        <v>1.7067237012050207</v>
      </c>
      <c r="T6" s="236" t="s">
        <v>133</v>
      </c>
      <c r="U6" s="228" t="s">
        <v>108</v>
      </c>
      <c r="V6" s="207"/>
    </row>
    <row r="7" spans="1:22" ht="12.75">
      <c r="A7" s="20"/>
      <c r="B7" s="9"/>
      <c r="C7" s="11"/>
      <c r="E7" s="11"/>
      <c r="G7" s="11"/>
      <c r="H7" s="171">
        <v>0</v>
      </c>
      <c r="I7" s="242">
        <v>3</v>
      </c>
      <c r="J7" s="243">
        <v>3</v>
      </c>
      <c r="Q7" s="9"/>
      <c r="R7" s="208" t="s">
        <v>2</v>
      </c>
      <c r="S7" s="230">
        <f>IF(R2="",F70,"Error in data insertion")</f>
        <v>0</v>
      </c>
      <c r="T7" s="237"/>
      <c r="U7" s="229" t="s">
        <v>116</v>
      </c>
      <c r="V7" s="209" t="s">
        <v>117</v>
      </c>
    </row>
    <row r="8" spans="2:22" ht="14.25" thickBot="1">
      <c r="B8" s="9"/>
      <c r="C8" s="11"/>
      <c r="E8" s="11"/>
      <c r="F8" s="13"/>
      <c r="G8" s="13"/>
      <c r="H8" s="171">
        <v>5</v>
      </c>
      <c r="I8" s="242">
        <v>0</v>
      </c>
      <c r="J8" s="243">
        <v>0</v>
      </c>
      <c r="Q8" s="9"/>
      <c r="R8" s="210"/>
      <c r="S8" s="232"/>
      <c r="T8" s="238"/>
      <c r="U8" s="230">
        <f>IF(R2="",J70,"Error in data insertion")</f>
        <v>-0.06886607263758836</v>
      </c>
      <c r="V8" s="222">
        <f>IF(R2="",K70,"Error in data insertion")</f>
        <v>0.06886607263758827</v>
      </c>
    </row>
    <row r="9" spans="2:23" ht="14.25" thickBot="1">
      <c r="B9" s="11"/>
      <c r="C9" s="11"/>
      <c r="E9" s="11"/>
      <c r="F9" s="13"/>
      <c r="G9" s="13"/>
      <c r="H9" s="171">
        <v>15</v>
      </c>
      <c r="I9" s="242">
        <v>0</v>
      </c>
      <c r="J9" s="243">
        <v>0</v>
      </c>
      <c r="Q9" s="9"/>
      <c r="R9" s="231">
        <f>IF(R2="",IF(S6&gt;34.94,"LIKELY GUESSING",""),"Data insertion error!")</f>
      </c>
      <c r="S9" s="232"/>
      <c r="T9" s="22"/>
      <c r="U9" s="204"/>
      <c r="V9" s="205"/>
      <c r="W9" s="9"/>
    </row>
    <row r="10" spans="1:23" ht="13.5">
      <c r="A10" s="8"/>
      <c r="B10" s="11"/>
      <c r="C10" s="11"/>
      <c r="E10" s="11"/>
      <c r="F10" s="23"/>
      <c r="G10" s="11"/>
      <c r="H10" s="171">
        <v>30</v>
      </c>
      <c r="I10" s="242">
        <v>0</v>
      </c>
      <c r="J10" s="243">
        <v>0</v>
      </c>
      <c r="Q10" s="9"/>
      <c r="R10" s="211"/>
      <c r="S10" s="211"/>
      <c r="T10" s="211"/>
      <c r="U10" s="211"/>
      <c r="V10" s="9"/>
      <c r="W10" s="9"/>
    </row>
    <row r="11" spans="1:21" ht="14.25" thickBot="1">
      <c r="A11" s="24"/>
      <c r="B11" s="11"/>
      <c r="C11" s="11"/>
      <c r="F11" s="9"/>
      <c r="H11" s="171">
        <v>60</v>
      </c>
      <c r="I11" s="244">
        <v>0</v>
      </c>
      <c r="J11" s="245">
        <v>0</v>
      </c>
      <c r="R11" s="212" t="s">
        <v>130</v>
      </c>
      <c r="S11" s="213"/>
      <c r="T11" s="213"/>
      <c r="U11" s="213"/>
    </row>
    <row r="12" spans="1:33" ht="14.25" thickBot="1">
      <c r="A12" s="25"/>
      <c r="B12" s="11"/>
      <c r="C12" s="11"/>
      <c r="F12" s="9"/>
      <c r="H12" s="172">
        <v>90</v>
      </c>
      <c r="I12" s="26"/>
      <c r="J12" s="27"/>
      <c r="L12" s="28"/>
      <c r="R12" s="214" t="s">
        <v>24</v>
      </c>
      <c r="S12" s="218">
        <f>IF(R2="",(U71+V71)/2,"Data insertion error")</f>
        <v>50</v>
      </c>
      <c r="T12" s="213"/>
      <c r="U12" s="213"/>
      <c r="AE12" s="7"/>
      <c r="AF12" s="7"/>
      <c r="AG12" s="29"/>
    </row>
    <row r="13" spans="2:33" ht="13.5" thickBot="1">
      <c r="B13" s="11"/>
      <c r="C13" s="11"/>
      <c r="F13" s="9"/>
      <c r="R13" s="215" t="s">
        <v>25</v>
      </c>
      <c r="S13" s="203">
        <f>IF(R2="",(100-U71+V71)/2,"Data insertion error")</f>
        <v>50</v>
      </c>
      <c r="T13" s="213"/>
      <c r="U13" s="213"/>
      <c r="AE13" s="7"/>
      <c r="AF13" s="7"/>
      <c r="AG13" s="29"/>
    </row>
    <row r="14" spans="2:33" ht="12.75">
      <c r="B14" s="11"/>
      <c r="C14" s="11"/>
      <c r="F14" s="9"/>
      <c r="Q14" s="9"/>
      <c r="R14" s="216" t="s">
        <v>95</v>
      </c>
      <c r="S14" s="217"/>
      <c r="T14" s="211"/>
      <c r="U14" s="211"/>
      <c r="V14" s="9"/>
      <c r="W14" s="9"/>
      <c r="AE14" s="7"/>
      <c r="AF14" s="7"/>
      <c r="AG14" s="29"/>
    </row>
    <row r="15" spans="2:33" ht="12.75">
      <c r="B15" s="11"/>
      <c r="C15" s="11"/>
      <c r="F15" s="9"/>
      <c r="Q15" s="9"/>
      <c r="R15" s="208" t="s">
        <v>116</v>
      </c>
      <c r="S15" s="209" t="s">
        <v>117</v>
      </c>
      <c r="T15" s="213"/>
      <c r="U15" s="211"/>
      <c r="V15" s="9"/>
      <c r="W15" s="9"/>
      <c r="AE15" s="7"/>
      <c r="AF15" s="7"/>
      <c r="AG15" s="29"/>
    </row>
    <row r="16" spans="2:33" ht="13.5" thickBot="1">
      <c r="B16" s="11"/>
      <c r="C16" s="11"/>
      <c r="F16" s="9"/>
      <c r="Q16" s="9"/>
      <c r="R16" s="202">
        <f>S12+NORMSINV(0.05/2)*(50*H262)</f>
        <v>46.55669636812058</v>
      </c>
      <c r="S16" s="203">
        <f>S12+NORMSINV(1-0.05/2)*(50*H262)</f>
        <v>53.44330363187942</v>
      </c>
      <c r="T16" s="213"/>
      <c r="U16" s="211"/>
      <c r="V16" s="9"/>
      <c r="W16" s="9"/>
      <c r="AE16" s="7"/>
      <c r="AF16" s="7"/>
      <c r="AG16" s="29"/>
    </row>
    <row r="17" spans="2:33" ht="12.75">
      <c r="B17" s="11"/>
      <c r="C17" s="11"/>
      <c r="F17" s="9"/>
      <c r="Q17" s="9"/>
      <c r="R17" s="9"/>
      <c r="U17" s="9"/>
      <c r="V17" s="9"/>
      <c r="W17" s="9"/>
      <c r="AE17" s="7"/>
      <c r="AF17" s="7"/>
      <c r="AG17" s="29"/>
    </row>
    <row r="18" spans="2:33" ht="12.75">
      <c r="B18" s="11"/>
      <c r="C18" s="11"/>
      <c r="F18" s="9"/>
      <c r="Q18" s="9"/>
      <c r="T18" s="9"/>
      <c r="U18" s="9"/>
      <c r="V18" s="9"/>
      <c r="W18" s="9"/>
      <c r="AE18" s="7"/>
      <c r="AF18" s="7"/>
      <c r="AG18" s="29"/>
    </row>
    <row r="19" spans="2:33" ht="12.75">
      <c r="B19" s="11"/>
      <c r="C19" s="11"/>
      <c r="F19" s="9"/>
      <c r="Q19" s="9"/>
      <c r="T19" s="9"/>
      <c r="U19" s="9"/>
      <c r="V19" s="9"/>
      <c r="W19" s="9"/>
      <c r="AE19" s="7"/>
      <c r="AF19" s="7"/>
      <c r="AG19" s="29"/>
    </row>
    <row r="20" spans="2:33" ht="12.75">
      <c r="B20" s="11"/>
      <c r="C20" s="11"/>
      <c r="F20" s="9"/>
      <c r="AE20" s="7"/>
      <c r="AF20" s="7"/>
      <c r="AG20" s="29"/>
    </row>
    <row r="21" spans="2:33" ht="12.75">
      <c r="B21" s="11"/>
      <c r="C21" s="11"/>
      <c r="F21" s="9"/>
      <c r="AE21" s="7"/>
      <c r="AF21" s="7"/>
      <c r="AG21" s="29"/>
    </row>
    <row r="22" spans="2:33" ht="12.75">
      <c r="B22" s="11"/>
      <c r="C22" s="11"/>
      <c r="F22" s="9"/>
      <c r="AE22" s="7"/>
      <c r="AF22" s="7"/>
      <c r="AG22" s="29"/>
    </row>
    <row r="23" spans="2:33" ht="12.75">
      <c r="B23" s="11"/>
      <c r="C23" s="11"/>
      <c r="F23" s="9"/>
      <c r="Q23" s="9"/>
      <c r="S23" s="10"/>
      <c r="T23" s="10"/>
      <c r="U23" s="9"/>
      <c r="V23" s="9"/>
      <c r="W23" s="9"/>
      <c r="AE23" s="7"/>
      <c r="AF23" s="7"/>
      <c r="AG23" s="29"/>
    </row>
    <row r="24" spans="2:33" ht="12.75">
      <c r="B24" s="11"/>
      <c r="C24" s="11"/>
      <c r="F24" s="9"/>
      <c r="Q24" s="9"/>
      <c r="R24" s="76"/>
      <c r="S24" s="1"/>
      <c r="T24" s="1"/>
      <c r="U24" s="9"/>
      <c r="V24" s="9"/>
      <c r="W24" s="9"/>
      <c r="AE24" s="7"/>
      <c r="AF24" s="7"/>
      <c r="AG24" s="29"/>
    </row>
    <row r="25" spans="2:33" ht="12.75">
      <c r="B25" s="11"/>
      <c r="C25" s="11"/>
      <c r="F25" s="9"/>
      <c r="Q25" s="9"/>
      <c r="R25" s="76"/>
      <c r="S25" s="1"/>
      <c r="T25" s="1"/>
      <c r="U25" s="9"/>
      <c r="V25" s="9"/>
      <c r="W25" s="9"/>
      <c r="AE25" s="7"/>
      <c r="AF25" s="7"/>
      <c r="AG25" s="29"/>
    </row>
    <row r="26" spans="2:33" ht="12.75">
      <c r="B26" s="11"/>
      <c r="C26" s="11"/>
      <c r="F26" s="9"/>
      <c r="Q26" s="9"/>
      <c r="R26" s="76"/>
      <c r="S26" s="1"/>
      <c r="T26" s="1"/>
      <c r="U26" s="9"/>
      <c r="V26" s="9"/>
      <c r="W26" s="9"/>
      <c r="AE26" s="7"/>
      <c r="AF26" s="7"/>
      <c r="AG26" s="29"/>
    </row>
    <row r="27" spans="2:33" ht="12.75">
      <c r="B27" s="11"/>
      <c r="C27" s="11"/>
      <c r="F27" s="9"/>
      <c r="Q27" s="9"/>
      <c r="R27" s="76"/>
      <c r="S27" s="1"/>
      <c r="T27" s="1"/>
      <c r="U27" s="9"/>
      <c r="V27" s="9"/>
      <c r="W27" s="9"/>
      <c r="AE27" s="7"/>
      <c r="AF27" s="7"/>
      <c r="AG27" s="29"/>
    </row>
    <row r="28" spans="2:33" ht="12.75">
      <c r="B28" s="11"/>
      <c r="C28" s="11"/>
      <c r="F28" s="9"/>
      <c r="Q28" s="9"/>
      <c r="R28" s="76"/>
      <c r="S28" s="1"/>
      <c r="T28" s="1"/>
      <c r="U28" s="9"/>
      <c r="V28" s="9"/>
      <c r="W28" s="9"/>
      <c r="AE28" s="7"/>
      <c r="AF28" s="7"/>
      <c r="AG28" s="29"/>
    </row>
    <row r="29" spans="2:33" ht="12.75">
      <c r="B29" s="11"/>
      <c r="C29" s="11"/>
      <c r="F29" s="9"/>
      <c r="Q29" s="9"/>
      <c r="R29" s="76"/>
      <c r="S29" s="1"/>
      <c r="T29" s="1"/>
      <c r="U29" s="9"/>
      <c r="V29" s="9"/>
      <c r="W29" s="9"/>
      <c r="AE29" s="7"/>
      <c r="AF29" s="7"/>
      <c r="AG29" s="29"/>
    </row>
    <row r="30" spans="2:33" ht="12.75">
      <c r="B30" s="11"/>
      <c r="C30" s="11"/>
      <c r="F30" s="9"/>
      <c r="Q30" s="9"/>
      <c r="R30" s="76"/>
      <c r="S30" s="1"/>
      <c r="T30" s="1"/>
      <c r="U30" s="9"/>
      <c r="V30" s="9"/>
      <c r="W30" s="9"/>
      <c r="AE30" s="7"/>
      <c r="AF30" s="7"/>
      <c r="AG30" s="29"/>
    </row>
    <row r="31" spans="2:33" ht="12.75">
      <c r="B31" s="11"/>
      <c r="C31" s="11"/>
      <c r="F31" s="9"/>
      <c r="Q31" s="9"/>
      <c r="R31" s="76"/>
      <c r="S31" s="1"/>
      <c r="T31" s="1"/>
      <c r="U31" s="9"/>
      <c r="V31" s="9"/>
      <c r="W31" s="9"/>
      <c r="AE31" s="7"/>
      <c r="AF31" s="7"/>
      <c r="AG31" s="29"/>
    </row>
    <row r="32" spans="2:33" ht="12.75">
      <c r="B32" s="11"/>
      <c r="C32" s="11"/>
      <c r="F32" s="9"/>
      <c r="Q32" s="9"/>
      <c r="R32" s="76"/>
      <c r="S32" s="1"/>
      <c r="T32" s="1"/>
      <c r="U32" s="9"/>
      <c r="V32" s="9"/>
      <c r="W32" s="9"/>
      <c r="AE32" s="7"/>
      <c r="AF32" s="7"/>
      <c r="AG32" s="29"/>
    </row>
    <row r="33" spans="2:33" ht="12.75">
      <c r="B33" s="11"/>
      <c r="C33" s="11"/>
      <c r="F33" s="9"/>
      <c r="Q33" s="9"/>
      <c r="R33" s="76"/>
      <c r="S33" s="1"/>
      <c r="T33" s="1"/>
      <c r="U33" s="9"/>
      <c r="V33" s="9"/>
      <c r="W33" s="9"/>
      <c r="AE33" s="7"/>
      <c r="AF33" s="7"/>
      <c r="AG33" s="29"/>
    </row>
    <row r="34" spans="2:33" ht="12.75">
      <c r="B34" s="11"/>
      <c r="C34" s="11"/>
      <c r="F34" s="9"/>
      <c r="Q34" s="9"/>
      <c r="R34" s="76"/>
      <c r="S34" s="1"/>
      <c r="T34" s="1"/>
      <c r="U34" s="9"/>
      <c r="V34" s="9"/>
      <c r="W34" s="9"/>
      <c r="AE34" s="7"/>
      <c r="AF34" s="7"/>
      <c r="AG34" s="29"/>
    </row>
    <row r="35" spans="2:33" ht="12.75">
      <c r="B35" s="11"/>
      <c r="C35" s="11"/>
      <c r="F35" s="9"/>
      <c r="Q35" s="9"/>
      <c r="R35" s="76"/>
      <c r="S35" s="1"/>
      <c r="T35" s="1"/>
      <c r="U35" s="9"/>
      <c r="V35" s="9"/>
      <c r="W35" s="9"/>
      <c r="AE35" s="7"/>
      <c r="AF35" s="7"/>
      <c r="AG35" s="29"/>
    </row>
    <row r="36" spans="2:33" ht="12.75">
      <c r="B36" s="11"/>
      <c r="C36" s="11"/>
      <c r="F36" s="9"/>
      <c r="Q36" s="9"/>
      <c r="R36" s="76"/>
      <c r="S36" s="1"/>
      <c r="T36" s="1"/>
      <c r="U36" s="9"/>
      <c r="V36" s="9"/>
      <c r="W36" s="9"/>
      <c r="AE36" s="7"/>
      <c r="AF36" s="7"/>
      <c r="AG36" s="29"/>
    </row>
    <row r="37" spans="2:33" ht="12.75">
      <c r="B37" s="11"/>
      <c r="C37" s="11"/>
      <c r="F37" s="9"/>
      <c r="Q37" s="9"/>
      <c r="R37" s="76"/>
      <c r="S37" s="1"/>
      <c r="T37" s="1"/>
      <c r="U37" s="9"/>
      <c r="V37" s="9"/>
      <c r="W37" s="9"/>
      <c r="AE37" s="7"/>
      <c r="AF37" s="7"/>
      <c r="AG37" s="29"/>
    </row>
    <row r="38" spans="2:33" ht="12.75">
      <c r="B38" s="11"/>
      <c r="C38" s="11"/>
      <c r="F38" s="9"/>
      <c r="Q38" s="9"/>
      <c r="R38" s="76"/>
      <c r="S38" s="1"/>
      <c r="T38" s="1"/>
      <c r="U38" s="9"/>
      <c r="V38" s="9"/>
      <c r="W38" s="9"/>
      <c r="AE38" s="7"/>
      <c r="AF38" s="7"/>
      <c r="AG38" s="29"/>
    </row>
    <row r="39" spans="2:33" ht="12.75">
      <c r="B39" s="11"/>
      <c r="C39" s="11"/>
      <c r="F39" s="9"/>
      <c r="Q39" s="9"/>
      <c r="R39" s="76"/>
      <c r="S39" s="1"/>
      <c r="T39" s="1"/>
      <c r="U39" s="9"/>
      <c r="V39" s="9"/>
      <c r="W39" s="9"/>
      <c r="AE39" s="7"/>
      <c r="AF39" s="7"/>
      <c r="AG39" s="29"/>
    </row>
    <row r="40" spans="2:33" ht="12.75">
      <c r="B40" s="11"/>
      <c r="C40" s="11"/>
      <c r="F40" s="9"/>
      <c r="Q40" s="9"/>
      <c r="R40" s="76"/>
      <c r="S40" s="1"/>
      <c r="T40" s="1"/>
      <c r="U40" s="9"/>
      <c r="V40" s="9"/>
      <c r="W40" s="9"/>
      <c r="AE40" s="7"/>
      <c r="AF40" s="7"/>
      <c r="AG40" s="29"/>
    </row>
    <row r="41" spans="2:33" ht="12.75">
      <c r="B41" s="11"/>
      <c r="C41" s="11"/>
      <c r="F41" s="9"/>
      <c r="Q41" s="9"/>
      <c r="R41" s="76"/>
      <c r="S41" s="1"/>
      <c r="T41" s="1"/>
      <c r="U41" s="9"/>
      <c r="V41" s="9"/>
      <c r="W41" s="9"/>
      <c r="AE41" s="7"/>
      <c r="AF41" s="7"/>
      <c r="AG41" s="29"/>
    </row>
    <row r="42" spans="2:33" ht="12.75">
      <c r="B42" s="11"/>
      <c r="C42" s="11"/>
      <c r="F42" s="9"/>
      <c r="Q42" s="9"/>
      <c r="R42" s="76"/>
      <c r="S42" s="1"/>
      <c r="T42" s="1"/>
      <c r="U42" s="9"/>
      <c r="V42" s="9"/>
      <c r="W42" s="9"/>
      <c r="AE42" s="7"/>
      <c r="AF42" s="7"/>
      <c r="AG42" s="29"/>
    </row>
    <row r="43" spans="2:33" ht="12.75">
      <c r="B43" s="11"/>
      <c r="C43" s="11"/>
      <c r="F43" s="9"/>
      <c r="Q43" s="9"/>
      <c r="R43" s="76"/>
      <c r="S43" s="1"/>
      <c r="T43" s="1"/>
      <c r="U43" s="9"/>
      <c r="V43" s="9"/>
      <c r="W43" s="9"/>
      <c r="AE43" s="7"/>
      <c r="AF43" s="7"/>
      <c r="AG43" s="29"/>
    </row>
    <row r="44" spans="2:33" ht="12.75">
      <c r="B44" s="11"/>
      <c r="C44" s="11"/>
      <c r="F44" s="9"/>
      <c r="Q44" s="9"/>
      <c r="R44" s="76"/>
      <c r="S44" s="1"/>
      <c r="T44" s="1"/>
      <c r="U44" s="9"/>
      <c r="V44" s="9"/>
      <c r="W44" s="9"/>
      <c r="AE44" s="7"/>
      <c r="AF44" s="7"/>
      <c r="AG44" s="29"/>
    </row>
    <row r="45" spans="2:33" ht="12.75">
      <c r="B45" s="11"/>
      <c r="C45" s="11"/>
      <c r="F45" s="9"/>
      <c r="Q45" s="9"/>
      <c r="R45" s="76"/>
      <c r="S45" s="1"/>
      <c r="T45" s="1"/>
      <c r="U45" s="9"/>
      <c r="V45" s="9"/>
      <c r="W45" s="9"/>
      <c r="AE45" s="7"/>
      <c r="AF45" s="7"/>
      <c r="AG45" s="29"/>
    </row>
    <row r="46" spans="2:33" ht="12.75">
      <c r="B46" s="11"/>
      <c r="C46" s="11"/>
      <c r="F46" s="9"/>
      <c r="Q46" s="9"/>
      <c r="R46" s="76"/>
      <c r="S46" s="1"/>
      <c r="T46" s="1"/>
      <c r="U46" s="9"/>
      <c r="V46" s="9"/>
      <c r="W46" s="9"/>
      <c r="AE46" s="7"/>
      <c r="AF46" s="7"/>
      <c r="AG46" s="29"/>
    </row>
    <row r="47" spans="2:33" ht="12.75">
      <c r="B47" s="11"/>
      <c r="C47" s="11"/>
      <c r="F47" s="9"/>
      <c r="Q47" s="9"/>
      <c r="R47" s="76"/>
      <c r="S47" s="1"/>
      <c r="T47" s="1"/>
      <c r="U47" s="9"/>
      <c r="V47" s="9"/>
      <c r="W47" s="9"/>
      <c r="AE47" s="7"/>
      <c r="AF47" s="7"/>
      <c r="AG47" s="29"/>
    </row>
    <row r="48" spans="2:33" ht="12.75">
      <c r="B48" s="11"/>
      <c r="C48" s="11"/>
      <c r="F48" s="9"/>
      <c r="Q48" s="9"/>
      <c r="S48" s="10"/>
      <c r="T48" s="10"/>
      <c r="U48" s="9"/>
      <c r="V48" s="9"/>
      <c r="W48" s="9"/>
      <c r="AE48" s="7"/>
      <c r="AF48" s="7"/>
      <c r="AG48" s="29"/>
    </row>
    <row r="49" spans="2:33" ht="12.75">
      <c r="B49" s="11"/>
      <c r="C49" s="11"/>
      <c r="F49" s="9"/>
      <c r="Q49" s="9"/>
      <c r="T49" s="10"/>
      <c r="U49" s="9"/>
      <c r="V49" s="9"/>
      <c r="W49" s="14"/>
      <c r="AE49" s="7"/>
      <c r="AF49" s="7"/>
      <c r="AG49" s="29"/>
    </row>
    <row r="50" spans="2:33" ht="12.75">
      <c r="B50" s="11"/>
      <c r="C50" s="11"/>
      <c r="F50" s="9"/>
      <c r="Q50" s="9"/>
      <c r="R50" s="9"/>
      <c r="S50" s="9"/>
      <c r="T50" s="9"/>
      <c r="U50" s="9"/>
      <c r="V50" s="9"/>
      <c r="W50" s="9"/>
      <c r="AE50" s="7"/>
      <c r="AF50" s="7"/>
      <c r="AG50" s="29"/>
    </row>
    <row r="51" spans="2:33" ht="12.75">
      <c r="B51" s="11"/>
      <c r="C51" s="11"/>
      <c r="F51" s="9"/>
      <c r="Q51" s="9"/>
      <c r="R51" s="9"/>
      <c r="S51" s="9"/>
      <c r="T51" s="9"/>
      <c r="U51" s="9"/>
      <c r="V51" s="9"/>
      <c r="W51" s="9"/>
      <c r="AE51" s="7"/>
      <c r="AF51" s="7"/>
      <c r="AG51" s="29"/>
    </row>
    <row r="52" spans="2:33" ht="12.75">
      <c r="B52" s="11"/>
      <c r="C52" s="11"/>
      <c r="F52" s="9"/>
      <c r="Q52" s="9"/>
      <c r="R52" s="9"/>
      <c r="S52" s="9"/>
      <c r="T52" s="9"/>
      <c r="U52" s="9"/>
      <c r="V52" s="9"/>
      <c r="W52" s="9"/>
      <c r="AE52" s="7"/>
      <c r="AF52" s="7"/>
      <c r="AG52" s="29"/>
    </row>
    <row r="53" spans="2:33" ht="12.75">
      <c r="B53" s="11"/>
      <c r="C53" s="11"/>
      <c r="F53" s="9"/>
      <c r="Q53" s="9"/>
      <c r="R53" s="9"/>
      <c r="S53" s="9"/>
      <c r="T53" s="9"/>
      <c r="U53" s="9"/>
      <c r="V53" s="9"/>
      <c r="W53" s="9"/>
      <c r="AE53" s="7"/>
      <c r="AF53" s="7"/>
      <c r="AG53" s="29"/>
    </row>
    <row r="54" spans="2:33" ht="12.75">
      <c r="B54" s="11"/>
      <c r="C54" s="11"/>
      <c r="F54" s="9"/>
      <c r="Q54" s="9"/>
      <c r="R54" s="9"/>
      <c r="S54" s="9"/>
      <c r="T54" s="9"/>
      <c r="U54" s="9"/>
      <c r="V54" s="9"/>
      <c r="W54" s="9"/>
      <c r="AE54" s="7"/>
      <c r="AF54" s="7"/>
      <c r="AG54" s="29"/>
    </row>
    <row r="55" spans="2:33" ht="12.75">
      <c r="B55" s="11"/>
      <c r="C55" s="11"/>
      <c r="F55" s="9"/>
      <c r="Q55" s="9"/>
      <c r="R55" s="9"/>
      <c r="S55" s="9"/>
      <c r="T55" s="9"/>
      <c r="U55" s="9"/>
      <c r="V55" s="9"/>
      <c r="W55" s="9"/>
      <c r="AE55" s="7"/>
      <c r="AF55" s="7"/>
      <c r="AG55" s="29"/>
    </row>
    <row r="56" spans="2:33" ht="12.75">
      <c r="B56" s="11"/>
      <c r="C56" s="11"/>
      <c r="F56" s="9"/>
      <c r="Q56" s="9"/>
      <c r="S56" s="9" t="s">
        <v>132</v>
      </c>
      <c r="T56" s="9"/>
      <c r="U56" s="9"/>
      <c r="V56" s="9"/>
      <c r="W56" s="9"/>
      <c r="AE56" s="7"/>
      <c r="AF56" s="7"/>
      <c r="AG56" s="29"/>
    </row>
    <row r="57" spans="2:33" ht="12.75">
      <c r="B57" s="11"/>
      <c r="C57" s="11"/>
      <c r="F57" s="9"/>
      <c r="Q57" s="9"/>
      <c r="R57" s="11" t="s">
        <v>2</v>
      </c>
      <c r="S57" s="9">
        <f>(V8-U8)/2</f>
        <v>0.06886607263758832</v>
      </c>
      <c r="T57" s="9"/>
      <c r="U57" s="9"/>
      <c r="V57" s="9"/>
      <c r="W57" s="9"/>
      <c r="AE57" s="7"/>
      <c r="AF57" s="7"/>
      <c r="AG57" s="29"/>
    </row>
    <row r="58" spans="2:33" ht="12.75">
      <c r="B58" s="11"/>
      <c r="C58" s="11"/>
      <c r="F58" s="9"/>
      <c r="Q58" s="9"/>
      <c r="R58" s="11" t="s">
        <v>24</v>
      </c>
      <c r="S58" s="11">
        <f>(S16-R16)/100</f>
        <v>0.06886607263758833</v>
      </c>
      <c r="T58" s="9"/>
      <c r="U58" s="9"/>
      <c r="V58" s="9"/>
      <c r="W58" s="9"/>
      <c r="AE58" s="7"/>
      <c r="AF58" s="7"/>
      <c r="AG58" s="29"/>
    </row>
    <row r="59" spans="2:33" ht="12.75">
      <c r="B59" s="11"/>
      <c r="C59" s="11"/>
      <c r="F59" s="9"/>
      <c r="Q59" s="9"/>
      <c r="R59" s="9"/>
      <c r="S59" s="9"/>
      <c r="T59" s="9"/>
      <c r="U59" s="9"/>
      <c r="V59" s="9"/>
      <c r="W59" s="9"/>
      <c r="AE59" s="7"/>
      <c r="AF59" s="7"/>
      <c r="AG59" s="29"/>
    </row>
    <row r="60" spans="2:33" ht="12.75">
      <c r="B60" s="11"/>
      <c r="C60" s="11"/>
      <c r="F60" s="9"/>
      <c r="Q60" s="9"/>
      <c r="R60" s="9"/>
      <c r="S60" s="9"/>
      <c r="T60" s="9"/>
      <c r="U60" s="9"/>
      <c r="V60" s="9"/>
      <c r="W60" s="9"/>
      <c r="AE60" s="7"/>
      <c r="AF60" s="7"/>
      <c r="AG60" s="29"/>
    </row>
    <row r="61" spans="2:33" ht="12.75">
      <c r="B61" s="11"/>
      <c r="C61" s="11"/>
      <c r="F61" s="9"/>
      <c r="Q61" s="9"/>
      <c r="R61" s="9"/>
      <c r="S61" s="9"/>
      <c r="T61" s="9"/>
      <c r="U61" s="9"/>
      <c r="V61" s="9"/>
      <c r="W61" s="9"/>
      <c r="AE61" s="7"/>
      <c r="AF61" s="7"/>
      <c r="AG61" s="29"/>
    </row>
    <row r="62" spans="6:33" ht="12.75">
      <c r="F62" s="9"/>
      <c r="Q62" s="9"/>
      <c r="S62" s="10"/>
      <c r="T62" s="10"/>
      <c r="V62" s="10" t="s">
        <v>118</v>
      </c>
      <c r="W62" s="10"/>
      <c r="X62" s="11" t="s">
        <v>108</v>
      </c>
      <c r="Z62" s="11" t="s">
        <v>119</v>
      </c>
      <c r="AE62" s="7"/>
      <c r="AF62" s="7"/>
      <c r="AG62" s="29"/>
    </row>
    <row r="63" spans="6:33" ht="13.5" thickBot="1">
      <c r="F63" s="9"/>
      <c r="Q63" s="9" t="s">
        <v>0</v>
      </c>
      <c r="R63" s="11" t="s">
        <v>1</v>
      </c>
      <c r="S63" s="10" t="s">
        <v>2</v>
      </c>
      <c r="T63" s="10" t="s">
        <v>24</v>
      </c>
      <c r="U63" s="11" t="s">
        <v>25</v>
      </c>
      <c r="V63" s="9" t="s">
        <v>116</v>
      </c>
      <c r="W63" s="9" t="s">
        <v>117</v>
      </c>
      <c r="X63" s="9" t="s">
        <v>116</v>
      </c>
      <c r="Y63" s="9" t="s">
        <v>117</v>
      </c>
      <c r="Z63" s="9" t="s">
        <v>116</v>
      </c>
      <c r="AA63" s="9" t="s">
        <v>117</v>
      </c>
      <c r="AE63" s="7"/>
      <c r="AF63" s="7"/>
      <c r="AG63" s="29"/>
    </row>
    <row r="64" spans="2:33" ht="13.5" thickBot="1">
      <c r="B64" s="31">
        <v>1.96</v>
      </c>
      <c r="D64" s="32">
        <v>1</v>
      </c>
      <c r="F64" s="32">
        <v>0</v>
      </c>
      <c r="Q64" s="9">
        <f>S3</f>
        <v>0</v>
      </c>
      <c r="R64" s="9">
        <f>S6</f>
        <v>1.7067237012050207</v>
      </c>
      <c r="S64" s="14">
        <f>S7</f>
        <v>0</v>
      </c>
      <c r="T64" s="10">
        <f>S12</f>
        <v>50</v>
      </c>
      <c r="U64" s="9">
        <f>S13</f>
        <v>50</v>
      </c>
      <c r="V64" s="9">
        <f>U5</f>
        <v>-1.0650360258697034</v>
      </c>
      <c r="W64" s="9">
        <f>V5</f>
        <v>1.0650360258697034</v>
      </c>
      <c r="X64" s="11">
        <f>U8</f>
        <v>-0.06886607263758836</v>
      </c>
      <c r="Y64" s="11">
        <f>V8</f>
        <v>0.06886607263758827</v>
      </c>
      <c r="Z64" s="11">
        <f>R16</f>
        <v>46.55669636812058</v>
      </c>
      <c r="AA64" s="11">
        <f>S16</f>
        <v>53.44330363187942</v>
      </c>
      <c r="AE64" s="7"/>
      <c r="AF64" s="7"/>
      <c r="AG64" s="29"/>
    </row>
    <row r="65" spans="2:33" ht="13.5" thickBot="1">
      <c r="B65" s="31">
        <v>5</v>
      </c>
      <c r="F65" s="9"/>
      <c r="Q65" s="9"/>
      <c r="R65" s="9"/>
      <c r="S65" s="9"/>
      <c r="T65" s="9"/>
      <c r="U65" s="9"/>
      <c r="V65" s="9"/>
      <c r="W65" s="9"/>
      <c r="AE65" s="7"/>
      <c r="AF65" s="7"/>
      <c r="AG65" s="29"/>
    </row>
    <row r="66" spans="6:33" ht="12.75">
      <c r="F66" s="9"/>
      <c r="Q66" s="9"/>
      <c r="R66" s="9"/>
      <c r="S66" s="9"/>
      <c r="T66" s="9"/>
      <c r="U66" s="9"/>
      <c r="V66" s="9"/>
      <c r="W66" s="9"/>
      <c r="AE66" s="7"/>
      <c r="AF66" s="7"/>
      <c r="AG66" s="29"/>
    </row>
    <row r="67" spans="1:256" ht="12.75">
      <c r="A67" s="33"/>
      <c r="S67" s="34">
        <f aca="true" t="shared" si="0" ref="S67:S75">IF(OR(I3&lt;0,I3&gt;6*$D$4),1,"")</f>
      </c>
      <c r="T67" s="34">
        <f aca="true" t="shared" si="1" ref="T67:T75">IF(OR(J3&lt;0,J3&gt;6*$D$4),1,"")</f>
      </c>
      <c r="AE67" s="7"/>
      <c r="AF67" s="7"/>
      <c r="AG67" s="29"/>
      <c r="IV67" s="9"/>
    </row>
    <row r="68" spans="3:256" ht="14.25" thickBot="1">
      <c r="C68" s="35"/>
      <c r="K68" s="76"/>
      <c r="M68" s="11" t="s">
        <v>100</v>
      </c>
      <c r="S68" s="34">
        <f t="shared" si="0"/>
      </c>
      <c r="T68" s="34">
        <f t="shared" si="1"/>
      </c>
      <c r="AE68" s="7"/>
      <c r="AF68" s="7"/>
      <c r="AG68" s="29"/>
      <c r="IV68" s="9"/>
    </row>
    <row r="69" spans="3:256" ht="13.5">
      <c r="C69" s="11"/>
      <c r="D69" s="11"/>
      <c r="E69" s="36" t="s">
        <v>77</v>
      </c>
      <c r="F69" s="37">
        <f>H200</f>
        <v>-6.978849185938389E-10</v>
      </c>
      <c r="G69" s="38" t="s">
        <v>6</v>
      </c>
      <c r="H69" s="173">
        <f>I200</f>
        <v>1.2755102037255688</v>
      </c>
      <c r="I69" s="148"/>
      <c r="J69" s="37"/>
      <c r="K69" s="148"/>
      <c r="L69" s="39"/>
      <c r="M69" s="149" t="s">
        <v>26</v>
      </c>
      <c r="N69" s="150" t="s">
        <v>74</v>
      </c>
      <c r="O69" s="151" t="s">
        <v>75</v>
      </c>
      <c r="S69" s="34">
        <f t="shared" si="0"/>
      </c>
      <c r="T69" s="34">
        <f t="shared" si="1"/>
      </c>
      <c r="AE69" s="7"/>
      <c r="AF69" s="7"/>
      <c r="AG69" s="29"/>
      <c r="IV69" s="9"/>
    </row>
    <row r="70" spans="4:256" ht="13.5">
      <c r="D70" s="11"/>
      <c r="E70" s="40" t="s">
        <v>5</v>
      </c>
      <c r="F70" s="41">
        <f>H261</f>
        <v>0</v>
      </c>
      <c r="G70" s="42"/>
      <c r="H70" s="174"/>
      <c r="I70" s="152" t="s">
        <v>78</v>
      </c>
      <c r="J70" s="41">
        <f>H264</f>
        <v>-0.06886607263758836</v>
      </c>
      <c r="K70" s="41">
        <f>H265</f>
        <v>0.06886607263758827</v>
      </c>
      <c r="L70" s="44"/>
      <c r="M70" s="153">
        <v>-60</v>
      </c>
      <c r="N70" s="154">
        <f>IF(L173=1,"",IF(F105&lt;G105,$D$4*6-G105,$D$4*6-F105))</f>
        <v>0</v>
      </c>
      <c r="O70" s="155">
        <f>IF(L173=1,"",$D$4*6-ABS(F105-G105))</f>
        <v>6</v>
      </c>
      <c r="S70" s="34">
        <f t="shared" si="0"/>
      </c>
      <c r="T70" s="34">
        <f t="shared" si="1"/>
      </c>
      <c r="U70" s="46" t="s">
        <v>12</v>
      </c>
      <c r="V70" s="47" t="s">
        <v>13</v>
      </c>
      <c r="W70" s="14"/>
      <c r="Y70" s="48">
        <f>I184</f>
        <v>2</v>
      </c>
      <c r="AE70" s="9"/>
      <c r="AF70" s="9"/>
      <c r="IV70" s="9"/>
    </row>
    <row r="71" spans="1:256" ht="14.25" thickBot="1">
      <c r="A71" s="49"/>
      <c r="C71" s="50"/>
      <c r="D71" s="26"/>
      <c r="E71" s="51" t="s">
        <v>77</v>
      </c>
      <c r="F71" s="52">
        <f>IF(I183=2,IF(L197=2,D214,IF(L197=3,J222,H159)),IF(L197=2,J222,H159))</f>
        <v>0</v>
      </c>
      <c r="G71" s="53" t="s">
        <v>6</v>
      </c>
      <c r="H71" s="175">
        <f>IF(L197&lt;4,"",(SUM(H125:H135)/($B$65)))</f>
      </c>
      <c r="I71" s="156"/>
      <c r="J71" s="52"/>
      <c r="K71" s="156"/>
      <c r="L71" s="54"/>
      <c r="M71" s="153">
        <v>-30</v>
      </c>
      <c r="N71" s="154">
        <f>IF(L174=1,"",IF(F99&lt;G99,$D$4*6-G99,$D$4*6-F99))</f>
        <v>0</v>
      </c>
      <c r="O71" s="155">
        <f>IF(L174=1,"",$D$4*6-ABS(F99-G99))</f>
        <v>6</v>
      </c>
      <c r="S71" s="34">
        <f t="shared" si="0"/>
      </c>
      <c r="T71" s="34">
        <f t="shared" si="1"/>
      </c>
      <c r="U71" s="46">
        <f>SUM(F81:F105)*100/($D$4*54)</f>
        <v>50</v>
      </c>
      <c r="V71" s="46">
        <f>SUM(G81:G105)*100/($D$4*54)</f>
        <v>50</v>
      </c>
      <c r="W71" s="14"/>
      <c r="Y71" s="48">
        <f>SUM(C160:C168)</f>
        <v>2</v>
      </c>
      <c r="AE71" s="9"/>
      <c r="AF71" s="9"/>
      <c r="IV71" s="9"/>
    </row>
    <row r="72" spans="2:256" ht="13.5" thickBot="1">
      <c r="B72" s="55" t="s">
        <v>98</v>
      </c>
      <c r="C72" s="56"/>
      <c r="D72" s="11"/>
      <c r="E72" s="11"/>
      <c r="F72" s="17" t="s">
        <v>90</v>
      </c>
      <c r="G72" s="57" t="s">
        <v>77</v>
      </c>
      <c r="H72" s="176" t="e">
        <f>-C73/C72</f>
        <v>#DIV/0!</v>
      </c>
      <c r="I72" s="11"/>
      <c r="J72" s="11"/>
      <c r="M72" s="153">
        <v>-15</v>
      </c>
      <c r="N72" s="154">
        <f>IF(L175=1,"",IF(F96&lt;G96,$D$4*6-G96,$D$4*6-F96))</f>
        <v>0</v>
      </c>
      <c r="O72" s="155">
        <f>IF(L175=1,"",$D$4*6-ABS(F96-G96))</f>
        <v>6</v>
      </c>
      <c r="S72" s="34">
        <f t="shared" si="0"/>
      </c>
      <c r="T72" s="34">
        <f t="shared" si="1"/>
      </c>
      <c r="W72" s="46" t="s">
        <v>96</v>
      </c>
      <c r="Y72" s="48">
        <f>9-SUM(G126:G134)</f>
        <v>9</v>
      </c>
      <c r="AE72" s="9"/>
      <c r="AF72" s="9"/>
      <c r="IV72" s="9"/>
    </row>
    <row r="73" spans="2:256" ht="13.5" thickBot="1">
      <c r="B73" s="55" t="s">
        <v>99</v>
      </c>
      <c r="C73" s="58"/>
      <c r="D73" s="41" t="s">
        <v>9</v>
      </c>
      <c r="E73" s="41" t="s">
        <v>10</v>
      </c>
      <c r="F73" s="21"/>
      <c r="G73" s="22" t="s">
        <v>6</v>
      </c>
      <c r="H73" s="177" t="e">
        <f>1/C72</f>
        <v>#DIV/0!</v>
      </c>
      <c r="I73" s="11"/>
      <c r="J73" s="11"/>
      <c r="M73" s="153">
        <v>-5</v>
      </c>
      <c r="N73" s="154">
        <f>IF(L176=1,"",IF(F94&lt;G94,$D$4*6-G94,$D$4*6-F94))</f>
        <v>0</v>
      </c>
      <c r="O73" s="155">
        <f>IF(L176=1,"",$D$4*6-ABS(F94-G94))</f>
        <v>6</v>
      </c>
      <c r="S73" s="34">
        <f t="shared" si="0"/>
      </c>
      <c r="T73" s="34">
        <f t="shared" si="1"/>
      </c>
      <c r="W73" s="59">
        <f>(S12-50)/(100-2*ABS(S13-50))</f>
        <v>0</v>
      </c>
      <c r="Y73" s="48">
        <f>L197</f>
        <v>3</v>
      </c>
      <c r="IV73" s="9"/>
    </row>
    <row r="74" spans="3:256" ht="12.75">
      <c r="C74" s="60" t="s">
        <v>11</v>
      </c>
      <c r="D74" s="41">
        <f>C69</f>
        <v>0</v>
      </c>
      <c r="E74" s="41">
        <f>C69</f>
        <v>0</v>
      </c>
      <c r="F74" s="41" t="s">
        <v>3</v>
      </c>
      <c r="G74" s="61" t="s">
        <v>4</v>
      </c>
      <c r="H74" s="178" t="s">
        <v>14</v>
      </c>
      <c r="I74" s="61" t="s">
        <v>15</v>
      </c>
      <c r="J74" s="61" t="s">
        <v>16</v>
      </c>
      <c r="M74" s="153">
        <v>0</v>
      </c>
      <c r="N74" s="154">
        <f>IF(L177=1,"",IF(F93&lt;G93,$D$4*6-G93,$D$4*6-F93))</f>
        <v>3</v>
      </c>
      <c r="O74" s="155">
        <f>IF(L177=1,"",$D$4*6-ABS(F93-G93))</f>
        <v>6</v>
      </c>
      <c r="S74" s="34">
        <f t="shared" si="0"/>
      </c>
      <c r="T74" s="34">
        <f t="shared" si="1"/>
      </c>
      <c r="AD74" s="2">
        <v>0</v>
      </c>
      <c r="AE74" s="3">
        <v>6</v>
      </c>
      <c r="AF74" s="62">
        <f>AD74+AE74</f>
        <v>6</v>
      </c>
      <c r="IV74" s="9"/>
    </row>
    <row r="75" spans="1:256" ht="12.75">
      <c r="A75" s="63" t="s">
        <v>76</v>
      </c>
      <c r="B75" s="61">
        <v>90</v>
      </c>
      <c r="C75" s="60" t="e">
        <f aca="true" t="shared" si="2" ref="C75:C111">100*NORMSDIST(($B75-F$71)/H$71)</f>
        <v>#VALUE!</v>
      </c>
      <c r="K75" s="41" t="e">
        <f>100*NORMSDIST(($B75+C$73/C$72)/(1/C$72))</f>
        <v>#DIV/0!</v>
      </c>
      <c r="M75" s="153">
        <v>5</v>
      </c>
      <c r="N75" s="154">
        <f>IF(L178=1,"",IF(F92&lt;G92,$D$4*6-G92,$D$4*6-F92))</f>
        <v>6</v>
      </c>
      <c r="O75" s="155">
        <f>IF(L178=1,"",$D$4*6-ABS(F92-G92))</f>
        <v>6</v>
      </c>
      <c r="R75" s="76"/>
      <c r="S75" s="34">
        <f t="shared" si="0"/>
      </c>
      <c r="T75" s="34">
        <f t="shared" si="1"/>
      </c>
      <c r="AD75" s="4">
        <v>3</v>
      </c>
      <c r="AE75" s="5">
        <v>3</v>
      </c>
      <c r="AF75" s="62">
        <f>AD75+AE75</f>
        <v>6</v>
      </c>
      <c r="IV75" s="9"/>
    </row>
    <row r="76" spans="1:32" ht="12.75">
      <c r="A76" s="63" t="s">
        <v>101</v>
      </c>
      <c r="B76" s="61">
        <f aca="true" t="shared" si="3" ref="B76:B111">B75-5</f>
        <v>85</v>
      </c>
      <c r="C76" s="60" t="e">
        <f t="shared" si="2"/>
        <v>#VALUE!</v>
      </c>
      <c r="K76" s="41" t="e">
        <f aca="true" t="shared" si="4" ref="K76:K111">100*NORMSDIST(($B76+C$73/C$72)/(1/C$72))</f>
        <v>#DIV/0!</v>
      </c>
      <c r="M76" s="153">
        <v>15</v>
      </c>
      <c r="N76" s="154">
        <f>IF(L179=1,"",IF(F90&lt;G90,$D$4*6-G90,$D$4*6-F90))</f>
        <v>6</v>
      </c>
      <c r="O76" s="155">
        <f>IF(L179=1,"",$D$4*6-ABS(F90-G90))</f>
        <v>6</v>
      </c>
      <c r="R76" s="76"/>
      <c r="AD76" s="62">
        <f>AD74+AD75</f>
        <v>3</v>
      </c>
      <c r="AE76" s="62">
        <f>AE74+AE75</f>
        <v>9</v>
      </c>
      <c r="AF76" s="62">
        <f>AF74+AF75</f>
        <v>12</v>
      </c>
    </row>
    <row r="77" spans="2:32" ht="12.75">
      <c r="B77" s="61">
        <f t="shared" si="3"/>
        <v>80</v>
      </c>
      <c r="C77" s="60" t="e">
        <f t="shared" si="2"/>
        <v>#VALUE!</v>
      </c>
      <c r="K77" s="41" t="e">
        <f t="shared" si="4"/>
        <v>#DIV/0!</v>
      </c>
      <c r="M77" s="153">
        <v>30</v>
      </c>
      <c r="N77" s="154">
        <f>IF(L180=1,"",IF(F87&lt;G87,$D$4*6-G87,$D$4*6-F87))</f>
        <v>6</v>
      </c>
      <c r="O77" s="155">
        <f>IF(L180=1,"",$D$4*6-ABS(F87-G87))</f>
        <v>6</v>
      </c>
      <c r="R77" s="76"/>
      <c r="AD77" s="64"/>
      <c r="AE77" s="64"/>
      <c r="AF77" s="64"/>
    </row>
    <row r="78" spans="2:32" ht="13.5" thickBot="1">
      <c r="B78" s="61">
        <f t="shared" si="3"/>
        <v>75</v>
      </c>
      <c r="C78" s="60" t="e">
        <f t="shared" si="2"/>
        <v>#VALUE!</v>
      </c>
      <c r="K78" s="41" t="e">
        <f t="shared" si="4"/>
        <v>#DIV/0!</v>
      </c>
      <c r="M78" s="157">
        <v>60</v>
      </c>
      <c r="N78" s="156">
        <f>IF(L181=1,"",IF(F81&lt;G81,$D$4*6-G81,$D$4*6-F81))</f>
        <v>6</v>
      </c>
      <c r="O78" s="158">
        <f>IF(L181=1,"",$D$4*6-ABS(F81-G81))</f>
        <v>6</v>
      </c>
      <c r="P78" s="76"/>
      <c r="Q78" s="76"/>
      <c r="R78" s="76"/>
      <c r="S78" s="76"/>
      <c r="T78" s="76"/>
      <c r="AD78" s="6" t="s">
        <v>113</v>
      </c>
      <c r="AE78" s="62"/>
      <c r="AF78" s="10"/>
    </row>
    <row r="79" spans="2:32" ht="12.75">
      <c r="B79" s="61">
        <f t="shared" si="3"/>
        <v>70</v>
      </c>
      <c r="C79" s="60" t="e">
        <f t="shared" si="2"/>
        <v>#VALUE!</v>
      </c>
      <c r="K79" s="41" t="e">
        <f t="shared" si="4"/>
        <v>#DIV/0!</v>
      </c>
      <c r="AD79" s="65">
        <f>(AF74*AD76)/AF76</f>
        <v>1.5</v>
      </c>
      <c r="AE79" s="66">
        <f>(AF74*AE76)/AF76</f>
        <v>4.5</v>
      </c>
      <c r="AF79" s="64"/>
    </row>
    <row r="80" spans="2:32" ht="13.5" thickBot="1">
      <c r="B80" s="61">
        <f t="shared" si="3"/>
        <v>65</v>
      </c>
      <c r="C80" s="60" t="e">
        <f t="shared" si="2"/>
        <v>#VALUE!</v>
      </c>
      <c r="K80" s="41" t="e">
        <f t="shared" si="4"/>
        <v>#DIV/0!</v>
      </c>
      <c r="N80" s="11" t="s">
        <v>103</v>
      </c>
      <c r="P80" s="11" t="s">
        <v>104</v>
      </c>
      <c r="R80" s="11" t="s">
        <v>105</v>
      </c>
      <c r="T80" s="11" t="s">
        <v>106</v>
      </c>
      <c r="V80" s="11" t="s">
        <v>107</v>
      </c>
      <c r="AD80" s="67">
        <f>(AF75*AD76)/AF76</f>
        <v>1.5</v>
      </c>
      <c r="AE80" s="68">
        <f>(AF75*AE76)/AF76</f>
        <v>4.5</v>
      </c>
      <c r="AF80" s="64"/>
    </row>
    <row r="81" spans="1:32" ht="13.5" thickBot="1">
      <c r="A81" s="20" t="s">
        <v>17</v>
      </c>
      <c r="B81" s="61">
        <f t="shared" si="3"/>
        <v>60</v>
      </c>
      <c r="C81" s="60" t="e">
        <f t="shared" si="2"/>
        <v>#VALUE!</v>
      </c>
      <c r="D81" s="41">
        <f>(IF(AND(F81*G81=0,F81+G81=$D$4*6),-10,IF(G81&gt;F81,100*(1-F81/(F81+$D$4*6-G81)),100*(1-G81/(G81+$D$4*6-F81)))))</f>
        <v>100</v>
      </c>
      <c r="E81" s="41">
        <f>(G81-F81)/($D$4*6)</f>
        <v>0</v>
      </c>
      <c r="F81" s="69">
        <f>IF($D$64=1,I11,X81)</f>
        <v>0</v>
      </c>
      <c r="G81" s="69">
        <f>IF($D$64=1,J11,Y81)</f>
        <v>0</v>
      </c>
      <c r="H81" s="174">
        <f>IF(F69&gt;32.5,1,0)</f>
        <v>0</v>
      </c>
      <c r="I81" s="41">
        <f>IF(F69&gt;27.5,1,0)</f>
        <v>0</v>
      </c>
      <c r="J81" s="61">
        <f>IF(F69&gt;14.5,1,0)</f>
        <v>0</v>
      </c>
      <c r="K81" s="41" t="e">
        <f t="shared" si="4"/>
        <v>#DIV/0!</v>
      </c>
      <c r="L81" s="70">
        <f>100*IF(F81*G81=0,IF(SUM(F81:G81)=$D$4*6,1,0),0)</f>
        <v>0</v>
      </c>
      <c r="N81" s="41" t="e">
        <f>SUM(#REF!)</f>
        <v>#REF!</v>
      </c>
      <c r="O81" s="41" t="e">
        <f>SUM(#REF!)</f>
        <v>#REF!</v>
      </c>
      <c r="P81" s="41" t="e">
        <f>SUM(#REF!)</f>
        <v>#REF!</v>
      </c>
      <c r="Q81" s="41" t="e">
        <f>SUM(#REF!)</f>
        <v>#REF!</v>
      </c>
      <c r="R81" s="41" t="e">
        <f>SUM(#REF!)</f>
        <v>#REF!</v>
      </c>
      <c r="S81" s="41" t="e">
        <f>SUM(#REF!)</f>
        <v>#REF!</v>
      </c>
      <c r="T81" s="41" t="e">
        <f>N81+P81</f>
        <v>#REF!</v>
      </c>
      <c r="U81" s="70" t="e">
        <f>O81+Q81</f>
        <v>#REF!</v>
      </c>
      <c r="V81" s="41" t="e">
        <f>N81+P81+R81</f>
        <v>#REF!</v>
      </c>
      <c r="W81" s="41" t="e">
        <f>O81+Q81+S81</f>
        <v>#REF!</v>
      </c>
      <c r="X81" s="41" t="e">
        <f>IF($D$4=1,N81,IF($D$4=2,T81,V81))</f>
        <v>#REF!</v>
      </c>
      <c r="Y81" s="41" t="e">
        <f>IF($D$4=1,O81,IF($D$4=2,U81,W81))</f>
        <v>#REF!</v>
      </c>
      <c r="AD81" s="64"/>
      <c r="AE81" s="64"/>
      <c r="AF81" s="64"/>
    </row>
    <row r="82" spans="2:32" ht="12.75">
      <c r="B82" s="61">
        <f t="shared" si="3"/>
        <v>55</v>
      </c>
      <c r="C82" s="60" t="e">
        <f t="shared" si="2"/>
        <v>#VALUE!</v>
      </c>
      <c r="K82" s="41" t="e">
        <f t="shared" si="4"/>
        <v>#DIV/0!</v>
      </c>
      <c r="AD82" s="64"/>
      <c r="AE82" s="64"/>
      <c r="AF82" s="64"/>
    </row>
    <row r="83" spans="2:11" ht="12.75">
      <c r="B83" s="61">
        <f t="shared" si="3"/>
        <v>50</v>
      </c>
      <c r="C83" s="60" t="e">
        <f t="shared" si="2"/>
        <v>#VALUE!</v>
      </c>
      <c r="K83" s="41" t="e">
        <f t="shared" si="4"/>
        <v>#DIV/0!</v>
      </c>
    </row>
    <row r="84" spans="2:11" ht="12.75">
      <c r="B84" s="61">
        <f t="shared" si="3"/>
        <v>45</v>
      </c>
      <c r="C84" s="60" t="e">
        <f t="shared" si="2"/>
        <v>#VALUE!</v>
      </c>
      <c r="K84" s="41" t="e">
        <f t="shared" si="4"/>
        <v>#DIV/0!</v>
      </c>
    </row>
    <row r="85" spans="2:19" ht="12.75">
      <c r="B85" s="61">
        <f t="shared" si="3"/>
        <v>40</v>
      </c>
      <c r="C85" s="60" t="e">
        <f t="shared" si="2"/>
        <v>#VALUE!</v>
      </c>
      <c r="K85" s="41" t="e">
        <f t="shared" si="4"/>
        <v>#DIV/0!</v>
      </c>
      <c r="R85" s="71"/>
      <c r="S85" s="71"/>
    </row>
    <row r="86" spans="2:11" ht="13.5" thickBot="1">
      <c r="B86" s="61">
        <f t="shared" si="3"/>
        <v>35</v>
      </c>
      <c r="C86" s="60" t="e">
        <f t="shared" si="2"/>
        <v>#VALUE!</v>
      </c>
      <c r="K86" s="41" t="e">
        <f t="shared" si="4"/>
        <v>#DIV/0!</v>
      </c>
    </row>
    <row r="87" spans="1:25" ht="13.5" thickBot="1">
      <c r="A87" s="19" t="s">
        <v>18</v>
      </c>
      <c r="B87" s="61">
        <f t="shared" si="3"/>
        <v>30</v>
      </c>
      <c r="C87" s="60" t="e">
        <f t="shared" si="2"/>
        <v>#VALUE!</v>
      </c>
      <c r="D87" s="41">
        <f>(IF(AND(F87*G87=0,F87+G87=$D$4*6),-10,IF(G87&gt;F87,100*(1-F87/(F87+$D$4*6-G87)),100*(1-G87/(G87+$D$4*6-F87)))))</f>
        <v>100</v>
      </c>
      <c r="E87" s="41">
        <f>(G87-F87)/($D$4*6)</f>
        <v>0</v>
      </c>
      <c r="F87" s="69">
        <f>IF($D$64=1,I10,X87)</f>
        <v>0</v>
      </c>
      <c r="G87" s="69">
        <f>IF($D$64=1,J10,Y87)</f>
        <v>0</v>
      </c>
      <c r="H87" s="174">
        <f>IF(F69&gt;14.5,1,0)</f>
        <v>0</v>
      </c>
      <c r="I87" s="41">
        <f>IF(F69&gt;7.5,1,0)</f>
        <v>0</v>
      </c>
      <c r="J87" s="61">
        <f>IF(F69&gt;-14.5,1,0)</f>
        <v>1</v>
      </c>
      <c r="K87" s="41" t="e">
        <f t="shared" si="4"/>
        <v>#DIV/0!</v>
      </c>
      <c r="L87" s="70">
        <f>100*IF(F87*G87=0,IF(SUM(F87:G87)=$D$4*6,1,0),0)</f>
        <v>0</v>
      </c>
      <c r="N87" s="41" t="e">
        <f>SUM(#REF!)</f>
        <v>#REF!</v>
      </c>
      <c r="O87" s="41" t="e">
        <f>SUM(#REF!)</f>
        <v>#REF!</v>
      </c>
      <c r="P87" s="41" t="e">
        <f>SUM(#REF!)</f>
        <v>#REF!</v>
      </c>
      <c r="Q87" s="41" t="e">
        <f>SUM(#REF!)</f>
        <v>#REF!</v>
      </c>
      <c r="R87" s="41" t="e">
        <f>SUM(#REF!)</f>
        <v>#REF!</v>
      </c>
      <c r="S87" s="41" t="e">
        <f>SUM(#REF!)</f>
        <v>#REF!</v>
      </c>
      <c r="T87" s="41" t="e">
        <f>N87+P87</f>
        <v>#REF!</v>
      </c>
      <c r="U87" s="70" t="e">
        <f>O87+Q87</f>
        <v>#REF!</v>
      </c>
      <c r="V87" s="41" t="e">
        <f>N87+P87+R87</f>
        <v>#REF!</v>
      </c>
      <c r="W87" s="41" t="e">
        <f>O87+Q87+S87</f>
        <v>#REF!</v>
      </c>
      <c r="X87" s="41" t="e">
        <f>IF($D$4=1,N87,IF($D$4=2,T87,V87))</f>
        <v>#REF!</v>
      </c>
      <c r="Y87" s="41" t="e">
        <f>IF($D$4=1,O87,IF($D$4=2,U87,W87))</f>
        <v>#REF!</v>
      </c>
    </row>
    <row r="88" spans="2:11" ht="12.75">
      <c r="B88" s="61">
        <f t="shared" si="3"/>
        <v>25</v>
      </c>
      <c r="C88" s="60" t="e">
        <f t="shared" si="2"/>
        <v>#VALUE!</v>
      </c>
      <c r="K88" s="41" t="e">
        <f t="shared" si="4"/>
        <v>#DIV/0!</v>
      </c>
    </row>
    <row r="89" spans="2:11" ht="13.5" thickBot="1">
      <c r="B89" s="61">
        <f t="shared" si="3"/>
        <v>20</v>
      </c>
      <c r="C89" s="60" t="e">
        <f t="shared" si="2"/>
        <v>#VALUE!</v>
      </c>
      <c r="K89" s="41" t="e">
        <f t="shared" si="4"/>
        <v>#DIV/0!</v>
      </c>
    </row>
    <row r="90" spans="1:25" ht="13.5" thickBot="1">
      <c r="A90" s="19" t="s">
        <v>19</v>
      </c>
      <c r="B90" s="61">
        <f t="shared" si="3"/>
        <v>15</v>
      </c>
      <c r="C90" s="60" t="e">
        <f t="shared" si="2"/>
        <v>#VALUE!</v>
      </c>
      <c r="D90" s="41">
        <f>(IF(AND(F90*G90=0,F90+G90=$D$4*6),-10,IF(G90&gt;F90,100*(1-F90/(F90+$D$4*6-G90)),100*(1-G90/(G90+$D$4*6-F90)))))</f>
        <v>100</v>
      </c>
      <c r="E90" s="41">
        <f>(G90-F90)/($D$4*6)</f>
        <v>0</v>
      </c>
      <c r="F90" s="69">
        <f>IF($D$64=1,I9,X90)</f>
        <v>0</v>
      </c>
      <c r="G90" s="69">
        <f>IF($D$64=1,J9,Y90)</f>
        <v>0</v>
      </c>
      <c r="H90" s="174">
        <f>IF(F69&gt;4.5,1,0)</f>
        <v>0</v>
      </c>
      <c r="I90" s="41">
        <f>IF(F69&gt;-7.5,1,0)</f>
        <v>1</v>
      </c>
      <c r="J90" s="61">
        <v>1</v>
      </c>
      <c r="K90" s="41" t="e">
        <f t="shared" si="4"/>
        <v>#DIV/0!</v>
      </c>
      <c r="L90" s="70">
        <f>100*IF(F90*G90=0,IF(SUM(F90:G90)=$D$4*6,1,0),0)</f>
        <v>0</v>
      </c>
      <c r="N90" s="41" t="e">
        <f>SUM(#REF!)</f>
        <v>#REF!</v>
      </c>
      <c r="O90" s="41" t="e">
        <f>SUM(#REF!)</f>
        <v>#REF!</v>
      </c>
      <c r="P90" s="41" t="e">
        <f>SUM(#REF!)</f>
        <v>#REF!</v>
      </c>
      <c r="Q90" s="41" t="e">
        <f>SUM(#REF!)</f>
        <v>#REF!</v>
      </c>
      <c r="R90" s="41" t="e">
        <f>SUM(#REF!)</f>
        <v>#REF!</v>
      </c>
      <c r="S90" s="41" t="e">
        <f>SUM(#REF!)</f>
        <v>#REF!</v>
      </c>
      <c r="T90" s="41" t="e">
        <f>N90+P90</f>
        <v>#REF!</v>
      </c>
      <c r="U90" s="70" t="e">
        <f>O90+Q90</f>
        <v>#REF!</v>
      </c>
      <c r="V90" s="41" t="e">
        <f>N90+P90+R90</f>
        <v>#REF!</v>
      </c>
      <c r="W90" s="41" t="e">
        <f>O90+Q90+S90</f>
        <v>#REF!</v>
      </c>
      <c r="X90" s="41" t="e">
        <f>IF($D$4=1,N90,IF($D$4=2,T90,V90))</f>
        <v>#REF!</v>
      </c>
      <c r="Y90" s="41" t="e">
        <f>IF($D$4=1,O90,IF($D$4=2,U90,W90))</f>
        <v>#REF!</v>
      </c>
    </row>
    <row r="91" spans="2:19" ht="13.5" thickBot="1">
      <c r="B91" s="61">
        <f t="shared" si="3"/>
        <v>10</v>
      </c>
      <c r="C91" s="60" t="e">
        <f t="shared" si="2"/>
        <v>#VALUE!</v>
      </c>
      <c r="K91" s="41" t="e">
        <f t="shared" si="4"/>
        <v>#DIV/0!</v>
      </c>
      <c r="R91" s="71"/>
      <c r="S91" s="71"/>
    </row>
    <row r="92" spans="1:25" ht="12.75">
      <c r="A92" s="19" t="s">
        <v>20</v>
      </c>
      <c r="B92" s="61">
        <f t="shared" si="3"/>
        <v>5</v>
      </c>
      <c r="C92" s="60" t="e">
        <f t="shared" si="2"/>
        <v>#VALUE!</v>
      </c>
      <c r="D92" s="41">
        <f>(IF(AND(F92*G92=0,F92+G92=$D$4*6),-10,IF(G92&gt;F92,100*(1-F92/(F92+$D$4*6-G92)),100*(1-G92/(G92+$D$4*6-F92)))))</f>
        <v>100</v>
      </c>
      <c r="E92" s="41">
        <f>(G92-F92)/($D$4*6)</f>
        <v>0</v>
      </c>
      <c r="F92" s="72">
        <f>IF($D$64=1,I8,X92)</f>
        <v>0</v>
      </c>
      <c r="G92" s="72">
        <f>IF($D$64=1,J8,Y92)</f>
        <v>0</v>
      </c>
      <c r="H92" s="174">
        <f>IF(F69&lt;-4.5,0,IF(F69&lt;32.5,1,0))</f>
        <v>1</v>
      </c>
      <c r="I92" s="41">
        <f>IF(F69&gt;-27.5,1,0)</f>
        <v>1</v>
      </c>
      <c r="J92" s="61">
        <v>1</v>
      </c>
      <c r="K92" s="41" t="e">
        <f t="shared" si="4"/>
        <v>#DIV/0!</v>
      </c>
      <c r="L92" s="70">
        <f>100*IF(F92*G92=0,IF(SUM(F92:G92)=$D$4*6,1,0),0)</f>
        <v>0</v>
      </c>
      <c r="N92" s="41" t="e">
        <f>SUM(#REF!)</f>
        <v>#REF!</v>
      </c>
      <c r="O92" s="41" t="e">
        <f>SUM(#REF!)</f>
        <v>#REF!</v>
      </c>
      <c r="P92" s="41" t="e">
        <f>SUM(#REF!)</f>
        <v>#REF!</v>
      </c>
      <c r="Q92" s="41" t="e">
        <f>SUM(#REF!)</f>
        <v>#REF!</v>
      </c>
      <c r="R92" s="41" t="e">
        <f>SUM(#REF!)</f>
        <v>#REF!</v>
      </c>
      <c r="S92" s="41" t="e">
        <f>SUM(#REF!)</f>
        <v>#REF!</v>
      </c>
      <c r="T92" s="41" t="e">
        <f aca="true" t="shared" si="5" ref="T92:U94">N92+P92</f>
        <v>#REF!</v>
      </c>
      <c r="U92" s="70" t="e">
        <f t="shared" si="5"/>
        <v>#REF!</v>
      </c>
      <c r="V92" s="41" t="e">
        <f aca="true" t="shared" si="6" ref="V92:W94">N92+P92+R92</f>
        <v>#REF!</v>
      </c>
      <c r="W92" s="41" t="e">
        <f t="shared" si="6"/>
        <v>#REF!</v>
      </c>
      <c r="X92" s="41" t="e">
        <f aca="true" t="shared" si="7" ref="X92:Y94">IF($D$4=1,N92,IF($D$4=2,T92,V92))</f>
        <v>#REF!</v>
      </c>
      <c r="Y92" s="41" t="e">
        <f t="shared" si="7"/>
        <v>#REF!</v>
      </c>
    </row>
    <row r="93" spans="1:25" ht="12.75">
      <c r="A93" s="19" t="s">
        <v>21</v>
      </c>
      <c r="B93" s="61">
        <f t="shared" si="3"/>
        <v>0</v>
      </c>
      <c r="C93" s="60" t="e">
        <f t="shared" si="2"/>
        <v>#VALUE!</v>
      </c>
      <c r="D93" s="41">
        <f>(IF(AND(F93*G93=0,F93+G93=$D$4*6),-10,IF(G93&gt;F93,100*(1-F93/(F93+$D$4*6-G93)),100*(1-G93/(G93+$D$4*6-F93)))))</f>
        <v>50</v>
      </c>
      <c r="E93" s="41">
        <f>(G93-F93)/($D$4*6)</f>
        <v>0</v>
      </c>
      <c r="F93" s="73">
        <f>IF($D$64=1,I7,X93)</f>
        <v>3</v>
      </c>
      <c r="G93" s="73">
        <f>IF($D$64=1,J7,Y93)</f>
        <v>3</v>
      </c>
      <c r="H93" s="174">
        <f>IF(F69&lt;-14.5,0,IF(F69&lt;14.5,1,0))</f>
        <v>1</v>
      </c>
      <c r="I93" s="41">
        <v>1</v>
      </c>
      <c r="J93" s="61">
        <v>1</v>
      </c>
      <c r="K93" s="41" t="e">
        <f t="shared" si="4"/>
        <v>#DIV/0!</v>
      </c>
      <c r="L93" s="70">
        <f>100*IF(F93*G93=0,IF(SUM(F93:G93)=$D$4*6,1,0),0)</f>
        <v>0</v>
      </c>
      <c r="N93" s="41" t="e">
        <f>SUM(#REF!)</f>
        <v>#REF!</v>
      </c>
      <c r="O93" s="41" t="e">
        <f>SUM(#REF!)</f>
        <v>#REF!</v>
      </c>
      <c r="P93" s="41" t="e">
        <f>SUM(#REF!)</f>
        <v>#REF!</v>
      </c>
      <c r="Q93" s="41" t="e">
        <f>SUM(#REF!)</f>
        <v>#REF!</v>
      </c>
      <c r="R93" s="41" t="e">
        <f>SUM(#REF!)</f>
        <v>#REF!</v>
      </c>
      <c r="S93" s="41" t="e">
        <f>SUM(#REF!)</f>
        <v>#REF!</v>
      </c>
      <c r="T93" s="41" t="e">
        <f t="shared" si="5"/>
        <v>#REF!</v>
      </c>
      <c r="U93" s="70" t="e">
        <f t="shared" si="5"/>
        <v>#REF!</v>
      </c>
      <c r="V93" s="41" t="e">
        <f t="shared" si="6"/>
        <v>#REF!</v>
      </c>
      <c r="W93" s="41" t="e">
        <f t="shared" si="6"/>
        <v>#REF!</v>
      </c>
      <c r="X93" s="41" t="e">
        <f t="shared" si="7"/>
        <v>#REF!</v>
      </c>
      <c r="Y93" s="41" t="e">
        <f t="shared" si="7"/>
        <v>#REF!</v>
      </c>
    </row>
    <row r="94" spans="1:25" ht="13.5" thickBot="1">
      <c r="A94" s="19" t="s">
        <v>13</v>
      </c>
      <c r="B94" s="61">
        <f t="shared" si="3"/>
        <v>-5</v>
      </c>
      <c r="C94" s="60" t="e">
        <f t="shared" si="2"/>
        <v>#VALUE!</v>
      </c>
      <c r="D94" s="41">
        <f>(IF(AND(F94*G94=0,F94+G94=$D$4*6),-10,IF(G94&gt;F94,100*(1-F94/(F94+$D$4*6-G94)),100*(1-G94/(G94+$D$4*6-F94)))))</f>
        <v>0</v>
      </c>
      <c r="E94" s="41">
        <f>(G94-F94)/($D$4*6)</f>
        <v>0</v>
      </c>
      <c r="F94" s="74">
        <f>IF($D$64=1,I6,X94)</f>
        <v>6</v>
      </c>
      <c r="G94" s="74">
        <f>IF($D$64=1,J6,Y94)</f>
        <v>6</v>
      </c>
      <c r="H94" s="174">
        <f>IF(F69&lt;-32.5,0,IF(F69&lt;4.5,1,0))</f>
        <v>1</v>
      </c>
      <c r="I94" s="41">
        <f>IF(F69&lt;27.5,1,0)</f>
        <v>1</v>
      </c>
      <c r="J94" s="61">
        <v>1</v>
      </c>
      <c r="K94" s="41" t="e">
        <f t="shared" si="4"/>
        <v>#DIV/0!</v>
      </c>
      <c r="L94" s="70">
        <f>100*IF(F94*G94=0,IF(SUM(F94:G94)=$D$4*6,1,0),0)</f>
        <v>0</v>
      </c>
      <c r="N94" s="41" t="e">
        <f>SUM(#REF!)</f>
        <v>#REF!</v>
      </c>
      <c r="O94" s="41" t="e">
        <f>SUM(#REF!)</f>
        <v>#REF!</v>
      </c>
      <c r="P94" s="41" t="e">
        <f>SUM(#REF!)</f>
        <v>#REF!</v>
      </c>
      <c r="Q94" s="41" t="e">
        <f>SUM(#REF!)</f>
        <v>#REF!</v>
      </c>
      <c r="R94" s="41" t="e">
        <f>SUM(#REF!)</f>
        <v>#REF!</v>
      </c>
      <c r="S94" s="41" t="e">
        <f>SUM(#REF!)</f>
        <v>#REF!</v>
      </c>
      <c r="T94" s="41" t="e">
        <f t="shared" si="5"/>
        <v>#REF!</v>
      </c>
      <c r="U94" s="70" t="e">
        <f t="shared" si="5"/>
        <v>#REF!</v>
      </c>
      <c r="V94" s="41" t="e">
        <f t="shared" si="6"/>
        <v>#REF!</v>
      </c>
      <c r="W94" s="41" t="e">
        <f t="shared" si="6"/>
        <v>#REF!</v>
      </c>
      <c r="X94" s="41" t="e">
        <f t="shared" si="7"/>
        <v>#REF!</v>
      </c>
      <c r="Y94" s="41" t="e">
        <f t="shared" si="7"/>
        <v>#REF!</v>
      </c>
    </row>
    <row r="95" spans="2:11" ht="13.5" thickBot="1">
      <c r="B95" s="61">
        <f t="shared" si="3"/>
        <v>-10</v>
      </c>
      <c r="C95" s="60" t="e">
        <f t="shared" si="2"/>
        <v>#VALUE!</v>
      </c>
      <c r="G95" s="11"/>
      <c r="K95" s="41" t="e">
        <f t="shared" si="4"/>
        <v>#DIV/0!</v>
      </c>
    </row>
    <row r="96" spans="1:25" ht="13.5" thickBot="1">
      <c r="A96" s="19" t="s">
        <v>22</v>
      </c>
      <c r="B96" s="61">
        <f t="shared" si="3"/>
        <v>-15</v>
      </c>
      <c r="C96" s="60" t="e">
        <f t="shared" si="2"/>
        <v>#VALUE!</v>
      </c>
      <c r="D96" s="41">
        <f>(IF(AND(F96*G96=0,F96+G96=$D$4*6),-10,IF(G96&gt;F96,100*(1-F96/(F96+$D$4*6-G96)),100*(1-G96/(G96+$D$4*6-F96)))))</f>
        <v>0</v>
      </c>
      <c r="E96" s="41">
        <f>(G96-F96)/($D$4*6)</f>
        <v>0</v>
      </c>
      <c r="F96" s="69">
        <f>IF($D$64=1,I5,X96)</f>
        <v>6</v>
      </c>
      <c r="G96" s="69">
        <f>IF($D$64=1,J5,Y96)</f>
        <v>6</v>
      </c>
      <c r="H96" s="174">
        <f>IF(F69&lt;-4.5,1,0)</f>
        <v>0</v>
      </c>
      <c r="I96" s="41">
        <f>IF(F69&lt;7.5,1,0)</f>
        <v>1</v>
      </c>
      <c r="J96" s="61">
        <v>1</v>
      </c>
      <c r="K96" s="41" t="e">
        <f t="shared" si="4"/>
        <v>#DIV/0!</v>
      </c>
      <c r="L96" s="70">
        <f>100*IF(F96*G96=0,IF(SUM(F96:G96)=$D$4*6,1,0),0)</f>
        <v>0</v>
      </c>
      <c r="N96" s="41" t="e">
        <f>SUM(#REF!)</f>
        <v>#REF!</v>
      </c>
      <c r="O96" s="41" t="e">
        <f>SUM(#REF!)</f>
        <v>#REF!</v>
      </c>
      <c r="P96" s="41" t="e">
        <f>SUM(#REF!)</f>
        <v>#REF!</v>
      </c>
      <c r="Q96" s="41" t="e">
        <f>SUM(#REF!)</f>
        <v>#REF!</v>
      </c>
      <c r="R96" s="41" t="e">
        <f>SUM(#REF!)</f>
        <v>#REF!</v>
      </c>
      <c r="S96" s="41" t="e">
        <f>SUM(#REF!)</f>
        <v>#REF!</v>
      </c>
      <c r="T96" s="41" t="e">
        <f>N96+P96</f>
        <v>#REF!</v>
      </c>
      <c r="U96" s="70" t="e">
        <f>O96+Q96</f>
        <v>#REF!</v>
      </c>
      <c r="V96" s="41" t="e">
        <f>N96+P96+R96</f>
        <v>#REF!</v>
      </c>
      <c r="W96" s="41" t="e">
        <f>O96+Q96+S96</f>
        <v>#REF!</v>
      </c>
      <c r="X96" s="41" t="e">
        <f>IF($D$4=1,N96,IF($D$4=2,T96,V96))</f>
        <v>#REF!</v>
      </c>
      <c r="Y96" s="41" t="e">
        <f>IF($D$4=1,O96,IF($D$4=2,U96,W96))</f>
        <v>#REF!</v>
      </c>
    </row>
    <row r="97" spans="2:19" ht="12.75">
      <c r="B97" s="61">
        <f t="shared" si="3"/>
        <v>-20</v>
      </c>
      <c r="C97" s="60" t="e">
        <f t="shared" si="2"/>
        <v>#VALUE!</v>
      </c>
      <c r="G97" s="11"/>
      <c r="K97" s="41" t="e">
        <f t="shared" si="4"/>
        <v>#DIV/0!</v>
      </c>
      <c r="R97" s="71"/>
      <c r="S97" s="71"/>
    </row>
    <row r="98" spans="2:11" ht="13.5" thickBot="1">
      <c r="B98" s="61">
        <f t="shared" si="3"/>
        <v>-25</v>
      </c>
      <c r="C98" s="60" t="e">
        <f t="shared" si="2"/>
        <v>#VALUE!</v>
      </c>
      <c r="G98" s="11"/>
      <c r="K98" s="41" t="e">
        <f t="shared" si="4"/>
        <v>#DIV/0!</v>
      </c>
    </row>
    <row r="99" spans="1:25" ht="13.5" thickBot="1">
      <c r="A99" s="19" t="s">
        <v>23</v>
      </c>
      <c r="B99" s="61">
        <f t="shared" si="3"/>
        <v>-30</v>
      </c>
      <c r="C99" s="60" t="e">
        <f t="shared" si="2"/>
        <v>#VALUE!</v>
      </c>
      <c r="D99" s="41">
        <f>(IF(AND(F99*G99=0,F99+G99=$D$4*6),-10,IF(G99&gt;F99,100*(1-F99/(F99+$D$4*6-G99)),100*(1-G99/(G99+$D$4*6-F99)))))</f>
        <v>0</v>
      </c>
      <c r="E99" s="41">
        <f>(G99-F99)/($D$4*6)</f>
        <v>0</v>
      </c>
      <c r="F99" s="69">
        <f>IF($D$64=1,I4,X99)</f>
        <v>6</v>
      </c>
      <c r="G99" s="69">
        <f>IF($D$64=1,J4,Y99)</f>
        <v>6</v>
      </c>
      <c r="H99" s="174">
        <f>IF(F69&lt;-14.5,1,0)</f>
        <v>0</v>
      </c>
      <c r="I99" s="41">
        <f>IF(F69&lt;-7.5,1,0)</f>
        <v>0</v>
      </c>
      <c r="J99" s="61">
        <f>IF(F69&lt;14.5,1,0)</f>
        <v>1</v>
      </c>
      <c r="K99" s="41" t="e">
        <f t="shared" si="4"/>
        <v>#DIV/0!</v>
      </c>
      <c r="L99" s="70">
        <f>100*IF(F99*G99=0,IF(SUM(F99:G99)=$D$4*6,1,0),0)</f>
        <v>0</v>
      </c>
      <c r="N99" s="41" t="e">
        <f>SUM(#REF!)</f>
        <v>#REF!</v>
      </c>
      <c r="O99" s="41" t="e">
        <f>SUM(#REF!)</f>
        <v>#REF!</v>
      </c>
      <c r="P99" s="41" t="e">
        <f>SUM(#REF!)</f>
        <v>#REF!</v>
      </c>
      <c r="Q99" s="41" t="e">
        <f>SUM(#REF!)</f>
        <v>#REF!</v>
      </c>
      <c r="R99" s="41" t="e">
        <f>SUM(#REF!)</f>
        <v>#REF!</v>
      </c>
      <c r="S99" s="41" t="e">
        <f>SUM(#REF!)</f>
        <v>#REF!</v>
      </c>
      <c r="T99" s="41" t="e">
        <f>N99+P99</f>
        <v>#REF!</v>
      </c>
      <c r="U99" s="70" t="e">
        <f>O99+Q99</f>
        <v>#REF!</v>
      </c>
      <c r="V99" s="41" t="e">
        <f>N99+P99+R99</f>
        <v>#REF!</v>
      </c>
      <c r="W99" s="41" t="e">
        <f>O99+Q99+S99</f>
        <v>#REF!</v>
      </c>
      <c r="X99" s="41" t="e">
        <f>IF($D$4=1,N99,IF($D$4=2,T99,V99))</f>
        <v>#REF!</v>
      </c>
      <c r="Y99" s="41" t="e">
        <f>IF($D$4=1,O99,IF($D$4=2,U99,W99))</f>
        <v>#REF!</v>
      </c>
    </row>
    <row r="100" spans="2:11" ht="12.75">
      <c r="B100" s="61">
        <f t="shared" si="3"/>
        <v>-35</v>
      </c>
      <c r="C100" s="60" t="e">
        <f t="shared" si="2"/>
        <v>#VALUE!</v>
      </c>
      <c r="G100" s="11"/>
      <c r="K100" s="41" t="e">
        <f t="shared" si="4"/>
        <v>#DIV/0!</v>
      </c>
    </row>
    <row r="101" spans="2:11" ht="12.75">
      <c r="B101" s="61">
        <f t="shared" si="3"/>
        <v>-40</v>
      </c>
      <c r="C101" s="60" t="e">
        <f t="shared" si="2"/>
        <v>#VALUE!</v>
      </c>
      <c r="G101" s="11"/>
      <c r="K101" s="41" t="e">
        <f t="shared" si="4"/>
        <v>#DIV/0!</v>
      </c>
    </row>
    <row r="102" spans="2:11" ht="12.75">
      <c r="B102" s="61">
        <f t="shared" si="3"/>
        <v>-45</v>
      </c>
      <c r="C102" s="60" t="e">
        <f t="shared" si="2"/>
        <v>#VALUE!</v>
      </c>
      <c r="G102" s="11"/>
      <c r="K102" s="41" t="e">
        <f t="shared" si="4"/>
        <v>#DIV/0!</v>
      </c>
    </row>
    <row r="103" spans="2:19" ht="12.75">
      <c r="B103" s="61">
        <f t="shared" si="3"/>
        <v>-50</v>
      </c>
      <c r="C103" s="60" t="e">
        <f t="shared" si="2"/>
        <v>#VALUE!</v>
      </c>
      <c r="G103" s="11"/>
      <c r="K103" s="41" t="e">
        <f t="shared" si="4"/>
        <v>#DIV/0!</v>
      </c>
      <c r="R103" s="71"/>
      <c r="S103" s="71"/>
    </row>
    <row r="104" spans="2:11" ht="13.5" thickBot="1">
      <c r="B104" s="61">
        <f t="shared" si="3"/>
        <v>-55</v>
      </c>
      <c r="C104" s="60" t="e">
        <f t="shared" si="2"/>
        <v>#VALUE!</v>
      </c>
      <c r="G104" s="11"/>
      <c r="K104" s="41" t="e">
        <f t="shared" si="4"/>
        <v>#DIV/0!</v>
      </c>
    </row>
    <row r="105" spans="1:25" ht="13.5" thickBot="1">
      <c r="A105" s="19" t="s">
        <v>12</v>
      </c>
      <c r="B105" s="61">
        <f t="shared" si="3"/>
        <v>-60</v>
      </c>
      <c r="C105" s="60" t="e">
        <f t="shared" si="2"/>
        <v>#VALUE!</v>
      </c>
      <c r="D105" s="41">
        <f>(IF(AND(F105*G105=0,F105+G105=$D$4*6),-10,IF(G105&gt;F105,100*(1-F105/(F105+$D$4*6-G105)),100*(1-G105/(G105+$D$4*6-F105)))))</f>
        <v>0</v>
      </c>
      <c r="E105" s="41">
        <f>(G105-F105)/($D$4*6)</f>
        <v>0</v>
      </c>
      <c r="F105" s="69">
        <f>IF($D$64=1,I3,X105)</f>
        <v>6</v>
      </c>
      <c r="G105" s="69">
        <f>IF($D$64=1,J3,Y105)</f>
        <v>6</v>
      </c>
      <c r="H105" s="174">
        <f>IF(F69&lt;-32.5,1,0)</f>
        <v>0</v>
      </c>
      <c r="I105" s="41">
        <f>IF(F69&lt;-27.5,1,0)</f>
        <v>0</v>
      </c>
      <c r="J105" s="61">
        <f>IF(F69&lt;-14.5,1,0)</f>
        <v>0</v>
      </c>
      <c r="K105" s="41" t="e">
        <f t="shared" si="4"/>
        <v>#DIV/0!</v>
      </c>
      <c r="L105" s="70">
        <f>100*IF(F105*G105=0,IF(SUM(F105:G105)=$D$4*6,1,0),0)</f>
        <v>0</v>
      </c>
      <c r="N105" s="41" t="e">
        <f>SUM(#REF!)</f>
        <v>#REF!</v>
      </c>
      <c r="O105" s="41" t="e">
        <f>SUM(#REF!)</f>
        <v>#REF!</v>
      </c>
      <c r="P105" s="41" t="e">
        <f>SUM(#REF!)</f>
        <v>#REF!</v>
      </c>
      <c r="Q105" s="41" t="e">
        <f>SUM(#REF!)</f>
        <v>#REF!</v>
      </c>
      <c r="R105" s="41" t="e">
        <f>SUM(#REF!)</f>
        <v>#REF!</v>
      </c>
      <c r="S105" s="41" t="e">
        <f>SUM(#REF!)</f>
        <v>#REF!</v>
      </c>
      <c r="T105" s="41" t="e">
        <f>N105+P105</f>
        <v>#REF!</v>
      </c>
      <c r="U105" s="70" t="e">
        <f>O105+Q105</f>
        <v>#REF!</v>
      </c>
      <c r="V105" s="41" t="e">
        <f>N105+P105+R105</f>
        <v>#REF!</v>
      </c>
      <c r="W105" s="41" t="e">
        <f>O105+Q105+S105</f>
        <v>#REF!</v>
      </c>
      <c r="X105" s="41" t="e">
        <f>IF($D$4=1,N105,IF($D$4=2,T105,V105))</f>
        <v>#REF!</v>
      </c>
      <c r="Y105" s="41" t="e">
        <f>IF($D$4=1,O105,IF($D$4=2,U105,W105))</f>
        <v>#REF!</v>
      </c>
    </row>
    <row r="106" spans="2:11" ht="12.75">
      <c r="B106" s="61">
        <f t="shared" si="3"/>
        <v>-65</v>
      </c>
      <c r="C106" s="60" t="e">
        <f t="shared" si="2"/>
        <v>#VALUE!</v>
      </c>
      <c r="G106" s="11"/>
      <c r="K106" s="41" t="e">
        <f t="shared" si="4"/>
        <v>#DIV/0!</v>
      </c>
    </row>
    <row r="107" spans="2:11" ht="12.75">
      <c r="B107" s="61">
        <f t="shared" si="3"/>
        <v>-70</v>
      </c>
      <c r="C107" s="60" t="e">
        <f t="shared" si="2"/>
        <v>#VALUE!</v>
      </c>
      <c r="G107" s="11"/>
      <c r="K107" s="41" t="e">
        <f t="shared" si="4"/>
        <v>#DIV/0!</v>
      </c>
    </row>
    <row r="108" spans="2:11" ht="12.75">
      <c r="B108" s="61">
        <f t="shared" si="3"/>
        <v>-75</v>
      </c>
      <c r="C108" s="60" t="e">
        <f t="shared" si="2"/>
        <v>#VALUE!</v>
      </c>
      <c r="G108" s="11"/>
      <c r="K108" s="41" t="e">
        <f t="shared" si="4"/>
        <v>#DIV/0!</v>
      </c>
    </row>
    <row r="109" spans="2:19" ht="12.75">
      <c r="B109" s="61">
        <f t="shared" si="3"/>
        <v>-80</v>
      </c>
      <c r="C109" s="60" t="e">
        <f t="shared" si="2"/>
        <v>#VALUE!</v>
      </c>
      <c r="G109" s="11"/>
      <c r="K109" s="41" t="e">
        <f t="shared" si="4"/>
        <v>#DIV/0!</v>
      </c>
      <c r="R109" s="71"/>
      <c r="S109" s="71"/>
    </row>
    <row r="110" spans="2:11" ht="12.75">
      <c r="B110" s="61">
        <f t="shared" si="3"/>
        <v>-85</v>
      </c>
      <c r="C110" s="60" t="e">
        <f t="shared" si="2"/>
        <v>#VALUE!</v>
      </c>
      <c r="G110" s="11"/>
      <c r="K110" s="41" t="e">
        <f t="shared" si="4"/>
        <v>#DIV/0!</v>
      </c>
    </row>
    <row r="111" spans="2:11" ht="12.75">
      <c r="B111" s="61">
        <f t="shared" si="3"/>
        <v>-90</v>
      </c>
      <c r="C111" s="60" t="e">
        <f t="shared" si="2"/>
        <v>#VALUE!</v>
      </c>
      <c r="K111" s="41" t="e">
        <f t="shared" si="4"/>
        <v>#DIV/0!</v>
      </c>
    </row>
    <row r="113" spans="3:10" ht="12.75">
      <c r="C113" s="9"/>
      <c r="D113" s="9"/>
      <c r="E113" s="9"/>
      <c r="F113" s="9"/>
      <c r="G113" s="9"/>
      <c r="H113" s="179"/>
      <c r="I113" s="11"/>
      <c r="J113" s="11"/>
    </row>
    <row r="114" spans="3:254" ht="12.75">
      <c r="C114" s="75"/>
      <c r="D114" s="75"/>
      <c r="E114" s="75"/>
      <c r="F114" s="9"/>
      <c r="G114" s="9"/>
      <c r="H114" s="179"/>
      <c r="I114" s="11"/>
      <c r="J114" s="11"/>
      <c r="M114" s="76"/>
      <c r="T114" s="76"/>
      <c r="IR114" s="76"/>
      <c r="IS114" s="76"/>
      <c r="IT114" s="76"/>
    </row>
    <row r="115" spans="3:19" ht="12.75">
      <c r="C115" s="9"/>
      <c r="D115" s="9"/>
      <c r="E115" s="9"/>
      <c r="F115" s="9"/>
      <c r="G115" s="9"/>
      <c r="H115" s="179"/>
      <c r="I115" s="11"/>
      <c r="J115" s="11"/>
      <c r="R115" s="71"/>
      <c r="S115" s="71"/>
    </row>
    <row r="116" spans="3:8" ht="12.75">
      <c r="C116" s="11"/>
      <c r="D116" s="11"/>
      <c r="E116" s="11"/>
      <c r="G116" s="11"/>
      <c r="H116" s="20"/>
    </row>
    <row r="117" spans="3:9" ht="12.75">
      <c r="C117" s="11"/>
      <c r="D117" s="11"/>
      <c r="E117" s="11"/>
      <c r="G117" s="11"/>
      <c r="H117" s="20"/>
      <c r="I117" s="61" t="s">
        <v>127</v>
      </c>
    </row>
    <row r="118" spans="3:9" ht="12.75">
      <c r="C118" s="11"/>
      <c r="D118" s="11"/>
      <c r="E118" s="11"/>
      <c r="G118" s="11"/>
      <c r="H118" s="20"/>
      <c r="I118" s="61" t="s">
        <v>91</v>
      </c>
    </row>
    <row r="119" spans="3:9" ht="12.75">
      <c r="C119" s="11"/>
      <c r="D119" s="11"/>
      <c r="E119" s="11"/>
      <c r="G119" s="11"/>
      <c r="H119" s="20"/>
      <c r="I119" s="61" t="s">
        <v>92</v>
      </c>
    </row>
    <row r="120" spans="1:23" s="13" customFormat="1" ht="13.5">
      <c r="A120" s="77"/>
      <c r="B120" s="30"/>
      <c r="H120" s="180"/>
      <c r="I120" s="159" t="s">
        <v>93</v>
      </c>
      <c r="J120" s="1"/>
      <c r="K120" s="76"/>
      <c r="L120" s="160"/>
      <c r="M120" s="76"/>
      <c r="N120" s="11"/>
      <c r="O120" s="11"/>
      <c r="P120" s="11"/>
      <c r="Q120" s="11"/>
      <c r="R120" s="11"/>
      <c r="S120" s="11"/>
      <c r="T120" s="76"/>
      <c r="U120" s="76"/>
      <c r="V120" s="76"/>
      <c r="W120" s="76"/>
    </row>
    <row r="121" spans="3:19" ht="12.75">
      <c r="C121" s="11"/>
      <c r="D121" s="11"/>
      <c r="E121" s="11"/>
      <c r="G121" s="11"/>
      <c r="H121" s="20"/>
      <c r="I121" s="61" t="s">
        <v>129</v>
      </c>
      <c r="R121" s="71"/>
      <c r="S121" s="71"/>
    </row>
    <row r="122" spans="3:9" ht="12.75">
      <c r="C122" s="11"/>
      <c r="D122" s="11"/>
      <c r="E122" s="11"/>
      <c r="G122" s="11"/>
      <c r="H122" s="20"/>
      <c r="I122" s="61" t="s">
        <v>128</v>
      </c>
    </row>
    <row r="123" ht="12.75">
      <c r="G123" s="11"/>
    </row>
    <row r="124" spans="1:18" ht="14.25" thickBot="1">
      <c r="A124" s="79" t="s">
        <v>7</v>
      </c>
      <c r="B124" s="79" t="s">
        <v>32</v>
      </c>
      <c r="C124" s="79" t="s">
        <v>31</v>
      </c>
      <c r="D124" s="79" t="s">
        <v>33</v>
      </c>
      <c r="E124" s="79" t="s">
        <v>111</v>
      </c>
      <c r="F124" s="45" t="s">
        <v>79</v>
      </c>
      <c r="G124" s="45" t="s">
        <v>126</v>
      </c>
      <c r="H124" s="181"/>
      <c r="I124" s="154" t="s">
        <v>51</v>
      </c>
      <c r="J124" s="80" t="s">
        <v>53</v>
      </c>
      <c r="K124" s="154" t="s">
        <v>52</v>
      </c>
      <c r="L124" s="80" t="s">
        <v>125</v>
      </c>
      <c r="P124" s="9"/>
      <c r="Q124" s="9"/>
      <c r="R124" s="9"/>
    </row>
    <row r="125" spans="1:18" ht="13.5" thickBot="1">
      <c r="A125" s="79">
        <v>0.695358162</v>
      </c>
      <c r="B125" s="79">
        <v>0.316029106</v>
      </c>
      <c r="C125" s="79">
        <v>2.266193497</v>
      </c>
      <c r="D125" s="79">
        <v>0.20709289</v>
      </c>
      <c r="E125" s="79">
        <f>D4</f>
        <v>1</v>
      </c>
      <c r="F125" s="81">
        <f aca="true" t="shared" si="8" ref="F125:F135">L186</f>
        <v>0</v>
      </c>
      <c r="G125" s="79">
        <v>0</v>
      </c>
      <c r="H125" s="182">
        <f aca="true" t="shared" si="9" ref="H125:H135">IF(C159=1,IF(K148=1,-H2,H2),0)</f>
        <v>0</v>
      </c>
      <c r="I125" s="81">
        <f aca="true" t="shared" si="10" ref="I125:I135">I172</f>
      </c>
      <c r="J125" s="80">
        <f>SUM(I$125:I125)</f>
        <v>0</v>
      </c>
      <c r="K125" s="154"/>
      <c r="L125" s="83"/>
      <c r="P125" s="9"/>
      <c r="Q125" s="9"/>
      <c r="R125" s="9"/>
    </row>
    <row r="126" spans="1:20" ht="12.75">
      <c r="A126" s="79" t="s">
        <v>34</v>
      </c>
      <c r="B126" s="79" t="s">
        <v>112</v>
      </c>
      <c r="C126" s="9"/>
      <c r="D126" s="9"/>
      <c r="E126" s="9"/>
      <c r="F126" s="81">
        <f t="shared" si="8"/>
        <v>0</v>
      </c>
      <c r="G126" s="81">
        <f aca="true" t="shared" si="11" ref="G126:G134">L173</f>
        <v>0</v>
      </c>
      <c r="H126" s="182">
        <f t="shared" si="9"/>
        <v>0</v>
      </c>
      <c r="I126" s="81">
        <f t="shared" si="10"/>
        <v>0</v>
      </c>
      <c r="J126" s="82">
        <f>SUM(I$125:I126)</f>
        <v>0</v>
      </c>
      <c r="K126" s="81">
        <f aca="true" t="shared" si="12" ref="K126:K134">IF(G126=1,"",IF(I126=1,0,F126))</f>
        <v>0</v>
      </c>
      <c r="L126" s="84">
        <f aca="true" t="shared" si="13" ref="L126:L134">IF(SUM(K$126:K$134)&gt;1,IF(G126=1,IF(J126=1,IF(OR(K138=0,L138=0),1,""),""),""),"")</f>
      </c>
      <c r="P126" s="9"/>
      <c r="Q126" s="9"/>
      <c r="R126" s="9"/>
      <c r="T126" s="9"/>
    </row>
    <row r="127" spans="1:20" ht="12.75">
      <c r="A127" s="79">
        <f>0.5+0.07/(E125^2)</f>
        <v>0.5700000000000001</v>
      </c>
      <c r="B127" s="79">
        <v>0.6817</v>
      </c>
      <c r="C127" s="9"/>
      <c r="D127" s="9"/>
      <c r="E127" s="9"/>
      <c r="F127" s="79">
        <f t="shared" si="8"/>
        <v>0</v>
      </c>
      <c r="G127" s="79">
        <f t="shared" si="11"/>
        <v>0</v>
      </c>
      <c r="H127" s="183">
        <f t="shared" si="9"/>
        <v>0</v>
      </c>
      <c r="I127" s="79">
        <f t="shared" si="10"/>
        <v>0</v>
      </c>
      <c r="J127" s="85">
        <f>SUM(I$125:I127)</f>
        <v>0</v>
      </c>
      <c r="K127" s="79">
        <f t="shared" si="12"/>
        <v>0</v>
      </c>
      <c r="L127" s="84">
        <f t="shared" si="13"/>
      </c>
      <c r="R127" s="71"/>
      <c r="S127" s="71"/>
      <c r="T127" s="9"/>
    </row>
    <row r="128" spans="6:20" ht="12.75">
      <c r="F128" s="79">
        <f t="shared" si="8"/>
        <v>0</v>
      </c>
      <c r="G128" s="79">
        <f t="shared" si="11"/>
        <v>0</v>
      </c>
      <c r="H128" s="183">
        <f t="shared" si="9"/>
        <v>0</v>
      </c>
      <c r="I128" s="79">
        <f t="shared" si="10"/>
        <v>0</v>
      </c>
      <c r="J128" s="85">
        <f>SUM(I$125:I128)</f>
        <v>0</v>
      </c>
      <c r="K128" s="79">
        <f t="shared" si="12"/>
        <v>0</v>
      </c>
      <c r="L128" s="84">
        <f t="shared" si="13"/>
      </c>
      <c r="T128" s="9"/>
    </row>
    <row r="129" spans="6:20" ht="12.75">
      <c r="F129" s="79">
        <f t="shared" si="8"/>
        <v>1</v>
      </c>
      <c r="G129" s="79">
        <f t="shared" si="11"/>
        <v>0</v>
      </c>
      <c r="H129" s="183">
        <f t="shared" si="9"/>
        <v>5</v>
      </c>
      <c r="I129" s="79">
        <f t="shared" si="10"/>
        <v>1</v>
      </c>
      <c r="J129" s="85">
        <f>SUM(I$125:I129)</f>
        <v>1</v>
      </c>
      <c r="K129" s="79">
        <f t="shared" si="12"/>
        <v>0</v>
      </c>
      <c r="L129" s="84">
        <f t="shared" si="13"/>
      </c>
      <c r="T129" s="9"/>
    </row>
    <row r="130" spans="6:20" ht="12.75">
      <c r="F130" s="79">
        <f t="shared" si="8"/>
        <v>1</v>
      </c>
      <c r="G130" s="79">
        <f t="shared" si="11"/>
        <v>0</v>
      </c>
      <c r="H130" s="183">
        <f t="shared" si="9"/>
        <v>0</v>
      </c>
      <c r="I130" s="79">
        <f t="shared" si="10"/>
        <v>0</v>
      </c>
      <c r="J130" s="85">
        <f>SUM(I$125:I130)</f>
        <v>1</v>
      </c>
      <c r="K130" s="79">
        <f t="shared" si="12"/>
        <v>1</v>
      </c>
      <c r="L130" s="84">
        <f t="shared" si="13"/>
      </c>
      <c r="T130" s="9"/>
    </row>
    <row r="131" spans="6:20" ht="12.75">
      <c r="F131" s="79">
        <f t="shared" si="8"/>
        <v>1</v>
      </c>
      <c r="G131" s="79">
        <f t="shared" si="11"/>
        <v>0</v>
      </c>
      <c r="H131" s="183">
        <f t="shared" si="9"/>
        <v>5</v>
      </c>
      <c r="I131" s="79">
        <f t="shared" si="10"/>
        <v>1</v>
      </c>
      <c r="J131" s="85">
        <f>SUM(I$125:I131)</f>
        <v>2</v>
      </c>
      <c r="K131" s="79">
        <f t="shared" si="12"/>
        <v>0</v>
      </c>
      <c r="L131" s="84">
        <f t="shared" si="13"/>
      </c>
      <c r="T131" s="9"/>
    </row>
    <row r="132" spans="6:20" ht="12.75">
      <c r="F132" s="79">
        <f t="shared" si="8"/>
        <v>0</v>
      </c>
      <c r="G132" s="79">
        <f t="shared" si="11"/>
        <v>0</v>
      </c>
      <c r="H132" s="183">
        <f t="shared" si="9"/>
        <v>0</v>
      </c>
      <c r="I132" s="79">
        <f t="shared" si="10"/>
        <v>0</v>
      </c>
      <c r="J132" s="85">
        <f>SUM(I$125:I132)</f>
        <v>2</v>
      </c>
      <c r="K132" s="79">
        <f t="shared" si="12"/>
        <v>0</v>
      </c>
      <c r="L132" s="84">
        <f t="shared" si="13"/>
      </c>
      <c r="T132" s="9"/>
    </row>
    <row r="133" spans="6:20" ht="12.75">
      <c r="F133" s="79">
        <f t="shared" si="8"/>
        <v>0</v>
      </c>
      <c r="G133" s="79">
        <f t="shared" si="11"/>
        <v>0</v>
      </c>
      <c r="H133" s="183">
        <f t="shared" si="9"/>
        <v>0</v>
      </c>
      <c r="I133" s="79">
        <f t="shared" si="10"/>
        <v>0</v>
      </c>
      <c r="J133" s="85">
        <f>SUM(I$125:I133)</f>
        <v>2</v>
      </c>
      <c r="K133" s="79">
        <f t="shared" si="12"/>
        <v>0</v>
      </c>
      <c r="L133" s="84">
        <f t="shared" si="13"/>
      </c>
      <c r="R133" s="71"/>
      <c r="S133" s="71"/>
      <c r="T133" s="9"/>
    </row>
    <row r="134" spans="6:20" ht="13.5" thickBot="1">
      <c r="F134" s="86">
        <f t="shared" si="8"/>
        <v>0</v>
      </c>
      <c r="G134" s="86">
        <f t="shared" si="11"/>
        <v>0</v>
      </c>
      <c r="H134" s="184">
        <f t="shared" si="9"/>
        <v>0</v>
      </c>
      <c r="I134" s="86">
        <f t="shared" si="10"/>
        <v>0</v>
      </c>
      <c r="J134" s="87">
        <f>SUM(I$125:I134)</f>
        <v>2</v>
      </c>
      <c r="K134" s="86">
        <f t="shared" si="12"/>
        <v>0</v>
      </c>
      <c r="L134" s="84">
        <f t="shared" si="13"/>
      </c>
      <c r="T134" s="9"/>
    </row>
    <row r="135" spans="6:20" ht="13.5" thickBot="1">
      <c r="F135" s="86">
        <f t="shared" si="8"/>
        <v>0</v>
      </c>
      <c r="G135" s="79">
        <v>0</v>
      </c>
      <c r="H135" s="185">
        <f t="shared" si="9"/>
        <v>0</v>
      </c>
      <c r="I135" s="86">
        <f t="shared" si="10"/>
      </c>
      <c r="J135" s="80">
        <f>SUM(I$125:I135)</f>
        <v>2</v>
      </c>
      <c r="K135" s="79"/>
      <c r="L135" s="83"/>
      <c r="T135" s="9"/>
    </row>
    <row r="136" spans="3:20" ht="13.5">
      <c r="C136" s="89" t="s">
        <v>122</v>
      </c>
      <c r="D136" s="45"/>
      <c r="E136" s="45"/>
      <c r="F136" s="79"/>
      <c r="G136" s="79" t="s">
        <v>123</v>
      </c>
      <c r="H136" s="186" t="s">
        <v>124</v>
      </c>
      <c r="I136" s="80"/>
      <c r="J136" s="79" t="s">
        <v>82</v>
      </c>
      <c r="K136" s="79" t="s">
        <v>80</v>
      </c>
      <c r="L136" s="84" t="s">
        <v>81</v>
      </c>
      <c r="T136" s="9"/>
    </row>
    <row r="137" spans="3:20" ht="13.5">
      <c r="C137" s="89">
        <v>1</v>
      </c>
      <c r="D137" s="45">
        <v>-90</v>
      </c>
      <c r="E137" s="90">
        <f aca="true" t="shared" si="14" ref="E137:E146">IF(D137="",E138,D137)</f>
        <v>-90</v>
      </c>
      <c r="F137" s="88">
        <f aca="true" t="shared" si="15" ref="F137:F146">IF(E137-E138=0,"",AVERAGE(E137:E138))</f>
        <v>-75</v>
      </c>
      <c r="G137" s="88">
        <f>IF(I172=1,1,"")</f>
      </c>
      <c r="H137" s="185"/>
      <c r="I137" s="14"/>
      <c r="J137" s="79">
        <f>SUM(I125:I$135)</f>
        <v>2</v>
      </c>
      <c r="K137" s="79">
        <v>0</v>
      </c>
      <c r="L137" s="84">
        <f>L138</f>
        <v>1</v>
      </c>
      <c r="T137" s="9"/>
    </row>
    <row r="138" spans="3:20" ht="13.5">
      <c r="C138" s="91">
        <f aca="true" t="shared" si="16" ref="C138:C146">IF(OR(F126=0,F126=1,L126=1),1,0)</f>
        <v>1</v>
      </c>
      <c r="D138" s="92">
        <f aca="true" t="shared" si="17" ref="D138:D146">IF(C138=1,M70,"")</f>
        <v>-60</v>
      </c>
      <c r="E138" s="90">
        <f t="shared" si="14"/>
        <v>-60</v>
      </c>
      <c r="F138" s="93">
        <f t="shared" si="15"/>
        <v>-45</v>
      </c>
      <c r="G138" s="93">
        <f aca="true" t="shared" si="18" ref="G138:G146">IF(AND(J126=1,J138=2),1,IF(L126="","",IF(K138=0,1,"")))</f>
      </c>
      <c r="H138" s="187">
        <f aca="true" t="shared" si="19" ref="H138:H146">IF(AND(J138=1,J126=2),1,IF(L126="","",IF(L138=0,1,"")))</f>
      </c>
      <c r="I138" s="14"/>
      <c r="J138" s="79">
        <f>SUM(I126:I$135)</f>
        <v>2</v>
      </c>
      <c r="K138" s="79">
        <f>SUM(K$126:K126)</f>
        <v>0</v>
      </c>
      <c r="L138" s="84">
        <f>SUM(K126:K$134)</f>
        <v>1</v>
      </c>
      <c r="T138" s="9"/>
    </row>
    <row r="139" spans="3:20" ht="13.5">
      <c r="C139" s="89">
        <f t="shared" si="16"/>
        <v>1</v>
      </c>
      <c r="D139" s="95">
        <f t="shared" si="17"/>
        <v>-30</v>
      </c>
      <c r="E139" s="96">
        <f t="shared" si="14"/>
        <v>-30</v>
      </c>
      <c r="F139" s="97">
        <f t="shared" si="15"/>
        <v>-22.5</v>
      </c>
      <c r="G139" s="97">
        <f t="shared" si="18"/>
      </c>
      <c r="H139" s="188">
        <f t="shared" si="19"/>
      </c>
      <c r="I139" s="14"/>
      <c r="J139" s="79">
        <f>SUM(I127:I$135)</f>
        <v>2</v>
      </c>
      <c r="K139" s="79">
        <f>SUM(K$126:K127)</f>
        <v>0</v>
      </c>
      <c r="L139" s="84">
        <f>SUM(K127:K$134)</f>
        <v>1</v>
      </c>
      <c r="R139" s="71"/>
      <c r="S139" s="71"/>
      <c r="T139" s="9"/>
    </row>
    <row r="140" spans="3:20" ht="13.5">
      <c r="C140" s="89">
        <f t="shared" si="16"/>
        <v>1</v>
      </c>
      <c r="D140" s="95">
        <f t="shared" si="17"/>
        <v>-15</v>
      </c>
      <c r="E140" s="96">
        <f t="shared" si="14"/>
        <v>-15</v>
      </c>
      <c r="F140" s="97">
        <f t="shared" si="15"/>
        <v>-10</v>
      </c>
      <c r="G140" s="97">
        <f t="shared" si="18"/>
      </c>
      <c r="H140" s="188">
        <f t="shared" si="19"/>
      </c>
      <c r="I140" s="14"/>
      <c r="J140" s="79">
        <f>SUM(I128:I$135)</f>
        <v>2</v>
      </c>
      <c r="K140" s="79">
        <f>SUM(K$126:K128)</f>
        <v>0</v>
      </c>
      <c r="L140" s="84">
        <f>SUM(K128:K$134)</f>
        <v>1</v>
      </c>
      <c r="T140" s="9"/>
    </row>
    <row r="141" spans="3:20" ht="13.5">
      <c r="C141" s="89">
        <f t="shared" si="16"/>
        <v>1</v>
      </c>
      <c r="D141" s="95">
        <f t="shared" si="17"/>
        <v>-5</v>
      </c>
      <c r="E141" s="96">
        <f t="shared" si="14"/>
        <v>-5</v>
      </c>
      <c r="F141" s="97">
        <f t="shared" si="15"/>
        <v>-2.5</v>
      </c>
      <c r="G141" s="97">
        <f t="shared" si="18"/>
        <v>1</v>
      </c>
      <c r="H141" s="188">
        <f t="shared" si="19"/>
      </c>
      <c r="I141" s="14"/>
      <c r="J141" s="79">
        <f>SUM(I129:I$135)</f>
        <v>2</v>
      </c>
      <c r="K141" s="79">
        <f>SUM(K$126:K129)</f>
        <v>0</v>
      </c>
      <c r="L141" s="84">
        <f>SUM(K129:K$134)</f>
        <v>1</v>
      </c>
      <c r="N141" s="9"/>
      <c r="O141" s="9"/>
      <c r="P141" s="9"/>
      <c r="Q141" s="9"/>
      <c r="R141" s="9"/>
      <c r="S141" s="14"/>
      <c r="T141" s="9"/>
    </row>
    <row r="142" spans="3:20" ht="13.5">
      <c r="C142" s="89">
        <f t="shared" si="16"/>
        <v>1</v>
      </c>
      <c r="D142" s="95">
        <f t="shared" si="17"/>
        <v>0</v>
      </c>
      <c r="E142" s="96">
        <f t="shared" si="14"/>
        <v>0</v>
      </c>
      <c r="F142" s="97">
        <f t="shared" si="15"/>
        <v>2.5</v>
      </c>
      <c r="G142" s="97">
        <f t="shared" si="18"/>
      </c>
      <c r="H142" s="188">
        <f t="shared" si="19"/>
      </c>
      <c r="I142" s="14"/>
      <c r="J142" s="79">
        <f>SUM(I130:I$135)</f>
        <v>1</v>
      </c>
      <c r="K142" s="79">
        <f>SUM(K$126:K130)</f>
        <v>1</v>
      </c>
      <c r="L142" s="84">
        <f>SUM(K130:K$134)</f>
        <v>1</v>
      </c>
      <c r="N142" s="9"/>
      <c r="O142" s="9"/>
      <c r="P142" s="9"/>
      <c r="Q142" s="9"/>
      <c r="R142" s="9"/>
      <c r="S142" s="14"/>
      <c r="T142" s="9"/>
    </row>
    <row r="143" spans="3:20" ht="13.5">
      <c r="C143" s="89">
        <f t="shared" si="16"/>
        <v>1</v>
      </c>
      <c r="D143" s="95">
        <f t="shared" si="17"/>
        <v>5</v>
      </c>
      <c r="E143" s="96">
        <f t="shared" si="14"/>
        <v>5</v>
      </c>
      <c r="F143" s="97">
        <f t="shared" si="15"/>
        <v>10</v>
      </c>
      <c r="G143" s="97">
        <f t="shared" si="18"/>
      </c>
      <c r="H143" s="188">
        <f t="shared" si="19"/>
        <v>1</v>
      </c>
      <c r="I143" s="14"/>
      <c r="J143" s="79">
        <f>SUM(I131:I$135)</f>
        <v>1</v>
      </c>
      <c r="K143" s="79">
        <f>SUM(K$126:K131)</f>
        <v>1</v>
      </c>
      <c r="L143" s="84">
        <f>SUM(K131:K$134)</f>
        <v>0</v>
      </c>
      <c r="N143" s="9"/>
      <c r="O143" s="9"/>
      <c r="P143" s="9"/>
      <c r="Q143" s="9"/>
      <c r="R143" s="9"/>
      <c r="S143" s="14"/>
      <c r="T143" s="9"/>
    </row>
    <row r="144" spans="3:20" ht="13.5">
      <c r="C144" s="89">
        <f t="shared" si="16"/>
        <v>1</v>
      </c>
      <c r="D144" s="95">
        <f t="shared" si="17"/>
        <v>15</v>
      </c>
      <c r="E144" s="96">
        <f t="shared" si="14"/>
        <v>15</v>
      </c>
      <c r="F144" s="97">
        <f t="shared" si="15"/>
        <v>22.5</v>
      </c>
      <c r="G144" s="97">
        <f t="shared" si="18"/>
      </c>
      <c r="H144" s="188">
        <f t="shared" si="19"/>
      </c>
      <c r="I144" s="14"/>
      <c r="J144" s="79">
        <f>SUM(I132:I$135)</f>
        <v>0</v>
      </c>
      <c r="K144" s="79">
        <f>SUM(K$126:K132)</f>
        <v>1</v>
      </c>
      <c r="L144" s="84">
        <f>SUM(K132:K$134)</f>
        <v>0</v>
      </c>
      <c r="O144" s="9"/>
      <c r="P144" s="9"/>
      <c r="Q144" s="9"/>
      <c r="R144" s="9"/>
      <c r="S144" s="14"/>
      <c r="T144" s="9"/>
    </row>
    <row r="145" spans="3:20" ht="13.5">
      <c r="C145" s="89">
        <f t="shared" si="16"/>
        <v>1</v>
      </c>
      <c r="D145" s="95">
        <f t="shared" si="17"/>
        <v>30</v>
      </c>
      <c r="E145" s="96">
        <f t="shared" si="14"/>
        <v>30</v>
      </c>
      <c r="F145" s="98">
        <f t="shared" si="15"/>
        <v>45</v>
      </c>
      <c r="G145" s="97">
        <f t="shared" si="18"/>
      </c>
      <c r="H145" s="188">
        <f t="shared" si="19"/>
      </c>
      <c r="I145" s="14"/>
      <c r="J145" s="79">
        <f>SUM(I133:I$135)</f>
        <v>0</v>
      </c>
      <c r="K145" s="79">
        <f>SUM(K$126:K133)</f>
        <v>1</v>
      </c>
      <c r="L145" s="84">
        <f>SUM(K133:K$134)</f>
        <v>0</v>
      </c>
      <c r="O145" s="9"/>
      <c r="P145" s="9"/>
      <c r="Q145" s="9"/>
      <c r="R145" s="9"/>
      <c r="S145" s="14"/>
      <c r="T145" s="9"/>
    </row>
    <row r="146" spans="3:20" ht="13.5">
      <c r="C146" s="89">
        <f t="shared" si="16"/>
        <v>1</v>
      </c>
      <c r="D146" s="95">
        <f t="shared" si="17"/>
        <v>60</v>
      </c>
      <c r="E146" s="96">
        <f t="shared" si="14"/>
        <v>60</v>
      </c>
      <c r="F146" s="98">
        <f t="shared" si="15"/>
        <v>75</v>
      </c>
      <c r="G146" s="97">
        <f t="shared" si="18"/>
      </c>
      <c r="H146" s="188">
        <f t="shared" si="19"/>
      </c>
      <c r="I146" s="14"/>
      <c r="J146" s="79">
        <f>SUM(I134:I$135)</f>
        <v>0</v>
      </c>
      <c r="K146" s="79">
        <f>SUM(K$126:K134)</f>
        <v>1</v>
      </c>
      <c r="L146" s="84">
        <f>SUM(K$134:K134)</f>
        <v>0</v>
      </c>
      <c r="O146" s="9"/>
      <c r="P146" s="9"/>
      <c r="Q146" s="9"/>
      <c r="R146" s="9"/>
      <c r="S146" s="14"/>
      <c r="T146" s="9"/>
    </row>
    <row r="147" spans="3:20" ht="14.25" thickBot="1">
      <c r="C147" s="99">
        <v>1</v>
      </c>
      <c r="D147" s="100">
        <v>90</v>
      </c>
      <c r="E147" s="90">
        <f>IF(D147="","",D147)</f>
        <v>90</v>
      </c>
      <c r="F147" s="81"/>
      <c r="G147" s="88"/>
      <c r="H147" s="185">
        <f>IF(I182=1,1,"")</f>
      </c>
      <c r="I147" s="52" t="s">
        <v>83</v>
      </c>
      <c r="J147" s="79">
        <f>SUM(I135:I$135)</f>
        <v>0</v>
      </c>
      <c r="K147" s="101">
        <f>K146</f>
        <v>1</v>
      </c>
      <c r="L147" s="102">
        <v>0</v>
      </c>
      <c r="O147" s="9"/>
      <c r="P147" s="9"/>
      <c r="Q147" s="9"/>
      <c r="R147" s="9"/>
      <c r="S147" s="14"/>
      <c r="T147" s="9"/>
    </row>
    <row r="148" spans="3:20" ht="13.5">
      <c r="C148" s="103"/>
      <c r="D148" s="104">
        <f aca="true" t="shared" si="20" ref="D148:D158">IF(L125=1,IF(K137=0,0,1),IF(C137=1,D172,""))</f>
        <v>0</v>
      </c>
      <c r="E148" s="105">
        <f aca="true" t="shared" si="21" ref="E148:E157">IF(D148="",E149,D148)</f>
        <v>0</v>
      </c>
      <c r="F148" s="88">
        <f aca="true" t="shared" si="22" ref="F148:F157">IF(E148-E149=0,0,E149-E148)</f>
        <v>0</v>
      </c>
      <c r="G148" s="88">
        <f aca="true" t="shared" si="23" ref="G148:G157">IF(F137="",0,F137)</f>
        <v>-75</v>
      </c>
      <c r="H148" s="188">
        <f aca="true" t="shared" si="24" ref="H148:H157">F148*G148</f>
        <v>0</v>
      </c>
      <c r="I148" s="80">
        <f aca="true" t="shared" si="25" ref="I148:I157">F148/$F$159</f>
        <v>0</v>
      </c>
      <c r="J148" s="79">
        <f aca="true" t="shared" si="26" ref="J148:J157">I148*G148</f>
        <v>0</v>
      </c>
      <c r="K148" s="79">
        <f>IF(G137="","",IF(SUM(G$137:G137)=K$159,1,""))</f>
      </c>
      <c r="L148" s="79">
        <f>IF(H137="","",IF(SUM(H137:H$147)=L$159,1,""))</f>
      </c>
      <c r="M148" s="79">
        <f aca="true" t="shared" si="27" ref="M148:M157">F148*G148^2</f>
        <v>0</v>
      </c>
      <c r="O148" s="9"/>
      <c r="P148" s="9"/>
      <c r="Q148" s="9"/>
      <c r="R148" s="9"/>
      <c r="S148" s="14"/>
      <c r="T148" s="9"/>
    </row>
    <row r="149" spans="3:20" ht="13.5">
      <c r="C149" s="103"/>
      <c r="D149" s="89">
        <f t="shared" si="20"/>
        <v>0</v>
      </c>
      <c r="E149" s="89">
        <f t="shared" si="21"/>
        <v>0</v>
      </c>
      <c r="F149" s="85">
        <f t="shared" si="22"/>
        <v>0</v>
      </c>
      <c r="G149" s="97">
        <f t="shared" si="23"/>
        <v>-45</v>
      </c>
      <c r="H149" s="188">
        <f t="shared" si="24"/>
        <v>0</v>
      </c>
      <c r="I149" s="80">
        <f t="shared" si="25"/>
        <v>0</v>
      </c>
      <c r="J149" s="79">
        <f t="shared" si="26"/>
        <v>0</v>
      </c>
      <c r="K149" s="79">
        <f>IF(G138="","",IF(SUM(G$137:G138)=K$159,1,""))</f>
      </c>
      <c r="L149" s="79">
        <f>IF(H138="","",IF(SUM(H138:H$147)=L$159,1,""))</f>
      </c>
      <c r="M149" s="79">
        <f t="shared" si="27"/>
        <v>0</v>
      </c>
      <c r="O149" s="9"/>
      <c r="P149" s="9"/>
      <c r="Q149" s="9"/>
      <c r="R149" s="9"/>
      <c r="S149" s="14"/>
      <c r="T149" s="9"/>
    </row>
    <row r="150" spans="3:20" ht="13.5">
      <c r="C150" s="103"/>
      <c r="D150" s="89">
        <f t="shared" si="20"/>
        <v>0</v>
      </c>
      <c r="E150" s="89">
        <f t="shared" si="21"/>
        <v>0</v>
      </c>
      <c r="F150" s="85">
        <f t="shared" si="22"/>
        <v>0</v>
      </c>
      <c r="G150" s="97">
        <f t="shared" si="23"/>
        <v>-22.5</v>
      </c>
      <c r="H150" s="188">
        <f t="shared" si="24"/>
        <v>0</v>
      </c>
      <c r="I150" s="80">
        <f t="shared" si="25"/>
        <v>0</v>
      </c>
      <c r="J150" s="79">
        <f t="shared" si="26"/>
        <v>0</v>
      </c>
      <c r="K150" s="79">
        <f>IF(G139="","",IF(SUM(G$137:G139)=K$159,1,""))</f>
      </c>
      <c r="L150" s="79">
        <f>IF(H139="","",IF(SUM(H139:H$147)=L$159,1,""))</f>
      </c>
      <c r="M150" s="79">
        <f t="shared" si="27"/>
        <v>0</v>
      </c>
      <c r="O150" s="9"/>
      <c r="P150" s="9"/>
      <c r="Q150" s="9"/>
      <c r="R150" s="9"/>
      <c r="S150" s="14"/>
      <c r="T150" s="9"/>
    </row>
    <row r="151" spans="3:20" ht="13.5">
      <c r="C151" s="103"/>
      <c r="D151" s="89">
        <f t="shared" si="20"/>
        <v>0</v>
      </c>
      <c r="E151" s="89">
        <f t="shared" si="21"/>
        <v>0</v>
      </c>
      <c r="F151" s="85">
        <f t="shared" si="22"/>
        <v>0</v>
      </c>
      <c r="G151" s="97">
        <f t="shared" si="23"/>
        <v>-10</v>
      </c>
      <c r="H151" s="188">
        <f t="shared" si="24"/>
        <v>0</v>
      </c>
      <c r="I151" s="80">
        <f t="shared" si="25"/>
        <v>0</v>
      </c>
      <c r="J151" s="79">
        <f t="shared" si="26"/>
        <v>0</v>
      </c>
      <c r="K151" s="79">
        <f>IF(G140="","",IF(SUM(G$137:G140)=K$159,1,""))</f>
      </c>
      <c r="L151" s="79">
        <f>IF(H140="","",IF(SUM(H140:H$147)=L$159,1,""))</f>
      </c>
      <c r="M151" s="79">
        <f t="shared" si="27"/>
        <v>0</v>
      </c>
      <c r="O151" s="9"/>
      <c r="P151" s="9"/>
      <c r="Q151" s="9"/>
      <c r="R151" s="9"/>
      <c r="S151" s="14"/>
      <c r="T151" s="9"/>
    </row>
    <row r="152" spans="3:20" ht="13.5">
      <c r="C152" s="103"/>
      <c r="D152" s="89">
        <f t="shared" si="20"/>
        <v>0</v>
      </c>
      <c r="E152" s="89">
        <f t="shared" si="21"/>
        <v>0</v>
      </c>
      <c r="F152" s="85">
        <f t="shared" si="22"/>
        <v>0.5</v>
      </c>
      <c r="G152" s="97">
        <f t="shared" si="23"/>
        <v>-2.5</v>
      </c>
      <c r="H152" s="188">
        <f t="shared" si="24"/>
        <v>-1.25</v>
      </c>
      <c r="I152" s="80">
        <f t="shared" si="25"/>
        <v>0.5</v>
      </c>
      <c r="J152" s="79">
        <f t="shared" si="26"/>
        <v>-1.25</v>
      </c>
      <c r="K152" s="79">
        <f>IF(G141="","",IF(SUM(G$137:G141)=K$159,1,""))</f>
        <v>1</v>
      </c>
      <c r="L152" s="79">
        <f>IF(H141="","",IF(SUM(H141:H$147)=L$159,1,""))</f>
      </c>
      <c r="M152" s="79">
        <f t="shared" si="27"/>
        <v>3.125</v>
      </c>
      <c r="O152" s="9"/>
      <c r="P152" s="9"/>
      <c r="Q152" s="9"/>
      <c r="R152" s="9"/>
      <c r="S152" s="14"/>
      <c r="T152" s="9"/>
    </row>
    <row r="153" spans="3:20" ht="13.5">
      <c r="C153" s="103"/>
      <c r="D153" s="89">
        <f t="shared" si="20"/>
        <v>0.5</v>
      </c>
      <c r="E153" s="89">
        <f t="shared" si="21"/>
        <v>0.5</v>
      </c>
      <c r="F153" s="85">
        <f t="shared" si="22"/>
        <v>0.5</v>
      </c>
      <c r="G153" s="97">
        <f t="shared" si="23"/>
        <v>2.5</v>
      </c>
      <c r="H153" s="188">
        <f t="shared" si="24"/>
        <v>1.25</v>
      </c>
      <c r="I153" s="80">
        <f t="shared" si="25"/>
        <v>0.5</v>
      </c>
      <c r="J153" s="79">
        <f t="shared" si="26"/>
        <v>1.25</v>
      </c>
      <c r="K153" s="79">
        <f>IF(G142="","",IF(SUM(G$137:G142)=K$159,1,""))</f>
      </c>
      <c r="L153" s="79">
        <f>IF(H142="","",IF(SUM(H142:H$147)=L$159,1,""))</f>
      </c>
      <c r="M153" s="79">
        <f t="shared" si="27"/>
        <v>3.125</v>
      </c>
      <c r="O153" s="9"/>
      <c r="P153" s="9"/>
      <c r="Q153" s="9"/>
      <c r="R153" s="9"/>
      <c r="S153" s="14"/>
      <c r="T153" s="9"/>
    </row>
    <row r="154" spans="3:20" ht="13.5">
      <c r="C154" s="103"/>
      <c r="D154" s="89">
        <f t="shared" si="20"/>
        <v>1</v>
      </c>
      <c r="E154" s="89">
        <f t="shared" si="21"/>
        <v>1</v>
      </c>
      <c r="F154" s="85">
        <f t="shared" si="22"/>
        <v>0</v>
      </c>
      <c r="G154" s="97">
        <f t="shared" si="23"/>
        <v>10</v>
      </c>
      <c r="H154" s="188">
        <f t="shared" si="24"/>
        <v>0</v>
      </c>
      <c r="I154" s="80">
        <f t="shared" si="25"/>
        <v>0</v>
      </c>
      <c r="J154" s="79">
        <f t="shared" si="26"/>
        <v>0</v>
      </c>
      <c r="K154" s="79">
        <f>IF(G143="","",IF(SUM(G$137:G143)=K$159,1,""))</f>
      </c>
      <c r="L154" s="79">
        <f>IF(H143="","",IF(SUM(H143:H$147)=L$159,1,""))</f>
        <v>1</v>
      </c>
      <c r="M154" s="79">
        <f t="shared" si="27"/>
        <v>0</v>
      </c>
      <c r="O154" s="9"/>
      <c r="P154" s="9"/>
      <c r="Q154" s="9"/>
      <c r="R154" s="9"/>
      <c r="S154" s="14"/>
      <c r="T154" s="9"/>
    </row>
    <row r="155" spans="3:20" ht="13.5">
      <c r="C155" s="103"/>
      <c r="D155" s="89">
        <f t="shared" si="20"/>
        <v>1</v>
      </c>
      <c r="E155" s="89">
        <f t="shared" si="21"/>
        <v>1</v>
      </c>
      <c r="F155" s="85">
        <f t="shared" si="22"/>
        <v>0</v>
      </c>
      <c r="G155" s="97">
        <f t="shared" si="23"/>
        <v>22.5</v>
      </c>
      <c r="H155" s="188">
        <f t="shared" si="24"/>
        <v>0</v>
      </c>
      <c r="I155" s="80">
        <f t="shared" si="25"/>
        <v>0</v>
      </c>
      <c r="J155" s="79">
        <f t="shared" si="26"/>
        <v>0</v>
      </c>
      <c r="K155" s="79">
        <f>IF(G144="","",IF(SUM(G$137:G144)=K$159,1,""))</f>
      </c>
      <c r="L155" s="79">
        <f>IF(H144="","",IF(SUM(H144:H$147)=L$159,1,""))</f>
      </c>
      <c r="M155" s="79">
        <f t="shared" si="27"/>
        <v>0</v>
      </c>
      <c r="O155" s="9"/>
      <c r="P155" s="9"/>
      <c r="Q155" s="9"/>
      <c r="R155" s="9"/>
      <c r="S155" s="14"/>
      <c r="T155" s="9"/>
    </row>
    <row r="156" spans="3:20" ht="13.5">
      <c r="C156" s="103"/>
      <c r="D156" s="89">
        <f t="shared" si="20"/>
        <v>1</v>
      </c>
      <c r="E156" s="89">
        <f t="shared" si="21"/>
        <v>1</v>
      </c>
      <c r="F156" s="87">
        <f t="shared" si="22"/>
        <v>0</v>
      </c>
      <c r="G156" s="98">
        <f t="shared" si="23"/>
        <v>45</v>
      </c>
      <c r="H156" s="188">
        <f t="shared" si="24"/>
        <v>0</v>
      </c>
      <c r="I156" s="80">
        <f t="shared" si="25"/>
        <v>0</v>
      </c>
      <c r="J156" s="79">
        <f t="shared" si="26"/>
        <v>0</v>
      </c>
      <c r="K156" s="79">
        <f>IF(G145="","",IF(SUM(G$137:G145)=K$159,1,""))</f>
      </c>
      <c r="L156" s="79">
        <f>IF(H145="","",IF(SUM(H145:H$147)=L$159,1,""))</f>
      </c>
      <c r="M156" s="79">
        <f t="shared" si="27"/>
        <v>0</v>
      </c>
      <c r="O156" s="9"/>
      <c r="P156" s="9"/>
      <c r="Q156" s="9"/>
      <c r="R156" s="9"/>
      <c r="S156" s="14"/>
      <c r="T156" s="9"/>
    </row>
    <row r="157" spans="3:20" ht="13.5">
      <c r="C157" s="103"/>
      <c r="D157" s="106">
        <f t="shared" si="20"/>
        <v>1</v>
      </c>
      <c r="E157" s="89">
        <f t="shared" si="21"/>
        <v>1</v>
      </c>
      <c r="F157" s="87">
        <f t="shared" si="22"/>
        <v>0</v>
      </c>
      <c r="G157" s="98">
        <f t="shared" si="23"/>
        <v>75</v>
      </c>
      <c r="H157" s="188">
        <f t="shared" si="24"/>
        <v>0</v>
      </c>
      <c r="I157" s="80">
        <f t="shared" si="25"/>
        <v>0</v>
      </c>
      <c r="J157" s="79">
        <f t="shared" si="26"/>
        <v>0</v>
      </c>
      <c r="K157" s="79">
        <f>IF(G146="","",IF(SUM(G$137:G146)=K$159,1,""))</f>
      </c>
      <c r="L157" s="79">
        <f>IF(H146="","",IF(SUM(H146:H$147)=L$159,1,""))</f>
      </c>
      <c r="M157" s="79">
        <f t="shared" si="27"/>
        <v>0</v>
      </c>
      <c r="O157" s="9"/>
      <c r="P157" s="9"/>
      <c r="Q157" s="9"/>
      <c r="R157" s="9"/>
      <c r="S157" s="14"/>
      <c r="T157" s="9"/>
    </row>
    <row r="158" spans="3:20" ht="14.25" thickBot="1">
      <c r="C158" s="89" t="s">
        <v>97</v>
      </c>
      <c r="D158" s="106">
        <f t="shared" si="20"/>
        <v>1</v>
      </c>
      <c r="E158" s="107">
        <f>IF(D158="","",D158)</f>
        <v>1</v>
      </c>
      <c r="G158" s="11"/>
      <c r="H158" s="180"/>
      <c r="J158" s="11"/>
      <c r="K158" s="79">
        <f>IF(G147="","",IF(SUM(G$137:G147)=K$159,1,""))</f>
      </c>
      <c r="L158" s="79">
        <f>IF(H147="","",IF(SUM(H147:H$147)=L$159,1,""))</f>
      </c>
      <c r="O158" s="9"/>
      <c r="P158" s="9"/>
      <c r="Q158" s="9"/>
      <c r="R158" s="9"/>
      <c r="S158" s="14"/>
      <c r="T158" s="9"/>
    </row>
    <row r="159" spans="3:20" ht="14.25" thickBot="1">
      <c r="C159" s="90">
        <f aca="true" t="shared" si="28" ref="C159:C169">IF(OR(K148=1,L148=1),1,"")</f>
      </c>
      <c r="D159" s="13"/>
      <c r="E159" s="13"/>
      <c r="F159" s="85">
        <f>SUM(F148:F157)</f>
        <v>1</v>
      </c>
      <c r="G159" s="11"/>
      <c r="H159" s="189">
        <f>SUM(H148:H157)</f>
        <v>0</v>
      </c>
      <c r="I159" s="79" t="s">
        <v>94</v>
      </c>
      <c r="J159" s="88">
        <f>SUM(J148:J157)</f>
        <v>0</v>
      </c>
      <c r="K159" s="108">
        <f>SUM(G137:G147)</f>
        <v>1</v>
      </c>
      <c r="L159" s="109">
        <f>SUM(H137:H147)</f>
        <v>1</v>
      </c>
      <c r="M159" s="79">
        <f>SUM(M148:M157)</f>
        <v>6.25</v>
      </c>
      <c r="N159" s="79" t="s">
        <v>19</v>
      </c>
      <c r="O159" s="9"/>
      <c r="P159" s="9"/>
      <c r="Q159" s="9"/>
      <c r="R159" s="9"/>
      <c r="S159" s="14"/>
      <c r="T159" s="9"/>
    </row>
    <row r="160" spans="3:20" ht="13.5">
      <c r="C160" s="90">
        <f t="shared" si="28"/>
      </c>
      <c r="D160" s="13"/>
      <c r="E160" s="13"/>
      <c r="G160" s="11"/>
      <c r="H160" s="180"/>
      <c r="J160" s="11"/>
      <c r="O160" s="9"/>
      <c r="P160" s="9"/>
      <c r="Q160" s="9"/>
      <c r="R160" s="9"/>
      <c r="S160" s="14"/>
      <c r="T160" s="9"/>
    </row>
    <row r="161" spans="3:20" ht="13.5">
      <c r="C161" s="96">
        <f t="shared" si="28"/>
      </c>
      <c r="D161" s="13"/>
      <c r="E161" s="13"/>
      <c r="G161" s="11"/>
      <c r="H161" s="180"/>
      <c r="J161" s="11"/>
      <c r="O161" s="9"/>
      <c r="P161" s="9"/>
      <c r="Q161" s="9"/>
      <c r="R161" s="9"/>
      <c r="S161" s="14"/>
      <c r="T161" s="9"/>
    </row>
    <row r="162" spans="3:20" ht="13.5">
      <c r="C162" s="96">
        <f t="shared" si="28"/>
      </c>
      <c r="D162" s="13"/>
      <c r="E162" s="13"/>
      <c r="G162" s="11"/>
      <c r="H162" s="180"/>
      <c r="J162" s="11"/>
      <c r="P162" s="9"/>
      <c r="Q162" s="9"/>
      <c r="R162" s="9"/>
      <c r="S162" s="14"/>
      <c r="T162" s="9"/>
    </row>
    <row r="163" spans="3:20" ht="13.5">
      <c r="C163" s="96">
        <f t="shared" si="28"/>
        <v>1</v>
      </c>
      <c r="D163" s="13"/>
      <c r="E163" s="13"/>
      <c r="G163" s="11"/>
      <c r="H163" s="180"/>
      <c r="J163" s="11"/>
      <c r="P163" s="9"/>
      <c r="Q163" s="9"/>
      <c r="R163" s="9"/>
      <c r="S163" s="14"/>
      <c r="T163" s="9"/>
    </row>
    <row r="164" spans="3:20" ht="13.5">
      <c r="C164" s="96">
        <f t="shared" si="28"/>
      </c>
      <c r="D164" s="13"/>
      <c r="E164" s="13"/>
      <c r="G164" s="11"/>
      <c r="H164" s="180"/>
      <c r="J164" s="11"/>
      <c r="P164" s="9"/>
      <c r="Q164" s="9"/>
      <c r="R164" s="9"/>
      <c r="S164" s="14"/>
      <c r="T164" s="9"/>
    </row>
    <row r="165" spans="3:20" ht="13.5">
      <c r="C165" s="96">
        <f t="shared" si="28"/>
        <v>1</v>
      </c>
      <c r="D165" s="13"/>
      <c r="E165" s="13"/>
      <c r="G165" s="11"/>
      <c r="H165" s="180"/>
      <c r="J165" s="11"/>
      <c r="P165" s="9"/>
      <c r="Q165" s="9"/>
      <c r="R165" s="9"/>
      <c r="S165" s="14"/>
      <c r="T165" s="9"/>
    </row>
    <row r="166" spans="3:20" ht="13.5">
      <c r="C166" s="96">
        <f t="shared" si="28"/>
      </c>
      <c r="D166" s="13"/>
      <c r="E166" s="13"/>
      <c r="G166" s="11"/>
      <c r="H166" s="180"/>
      <c r="J166" s="11"/>
      <c r="P166" s="9"/>
      <c r="Q166" s="9"/>
      <c r="R166" s="9"/>
      <c r="S166" s="14"/>
      <c r="T166" s="9"/>
    </row>
    <row r="167" spans="3:20" ht="13.5">
      <c r="C167" s="96">
        <f t="shared" si="28"/>
      </c>
      <c r="D167" s="13"/>
      <c r="E167" s="13"/>
      <c r="G167" s="11"/>
      <c r="H167" s="180"/>
      <c r="J167" s="11"/>
      <c r="P167" s="9"/>
      <c r="Q167" s="9"/>
      <c r="R167" s="9"/>
      <c r="S167" s="14"/>
      <c r="T167" s="9"/>
    </row>
    <row r="168" spans="3:20" ht="13.5">
      <c r="C168" s="107">
        <f t="shared" si="28"/>
      </c>
      <c r="D168" s="13"/>
      <c r="E168" s="13"/>
      <c r="G168" s="11"/>
      <c r="H168" s="180"/>
      <c r="J168" s="11"/>
      <c r="P168" s="9"/>
      <c r="Q168" s="9"/>
      <c r="R168" s="9"/>
      <c r="S168" s="14"/>
      <c r="T168" s="9"/>
    </row>
    <row r="169" spans="3:20" ht="13.5">
      <c r="C169" s="107">
        <f t="shared" si="28"/>
      </c>
      <c r="G169" s="11"/>
      <c r="P169" s="9"/>
      <c r="Q169" s="9"/>
      <c r="R169" s="9"/>
      <c r="S169" s="14"/>
      <c r="T169" s="9"/>
    </row>
    <row r="170" spans="16:20" ht="12.75">
      <c r="P170" s="9"/>
      <c r="Q170" s="9"/>
      <c r="R170" s="9"/>
      <c r="S170" s="14"/>
      <c r="T170" s="9"/>
    </row>
    <row r="171" spans="3:251" ht="14.25" thickBot="1">
      <c r="C171" s="110" t="s">
        <v>26</v>
      </c>
      <c r="D171" s="111" t="s">
        <v>45</v>
      </c>
      <c r="E171" s="111" t="s">
        <v>52</v>
      </c>
      <c r="F171" s="112" t="s">
        <v>47</v>
      </c>
      <c r="G171" s="112" t="s">
        <v>46</v>
      </c>
      <c r="H171" s="190" t="s">
        <v>48</v>
      </c>
      <c r="I171" s="161" t="s">
        <v>51</v>
      </c>
      <c r="J171" s="112"/>
      <c r="K171" s="112" t="s">
        <v>55</v>
      </c>
      <c r="L171" s="162" t="s">
        <v>121</v>
      </c>
      <c r="P171" s="9"/>
      <c r="Q171" s="9"/>
      <c r="R171" s="9"/>
      <c r="S171" s="14"/>
      <c r="T171" s="9"/>
      <c r="EA171" s="13"/>
      <c r="EK171" s="13"/>
      <c r="EU171" s="13"/>
      <c r="FE171" s="13"/>
      <c r="FO171" s="13"/>
      <c r="FY171" s="13"/>
      <c r="GI171" s="13"/>
      <c r="GS171" s="13"/>
      <c r="HC171" s="13"/>
      <c r="HM171" s="13"/>
      <c r="HW171" s="13"/>
      <c r="IG171" s="13"/>
      <c r="IQ171" s="13"/>
    </row>
    <row r="172" spans="3:20" ht="13.5" thickBot="1">
      <c r="C172" s="113">
        <v>-90</v>
      </c>
      <c r="D172" s="111">
        <v>0</v>
      </c>
      <c r="E172" s="111">
        <v>0</v>
      </c>
      <c r="F172" s="112">
        <v>0</v>
      </c>
      <c r="G172" s="112">
        <v>1</v>
      </c>
      <c r="H172" s="190">
        <v>50</v>
      </c>
      <c r="I172" s="114">
        <f>IF(I184=0,1,IF(I184&gt;1,"",IF(E240=1,1,0)))</f>
      </c>
      <c r="J172" s="111" t="e">
        <f aca="true" t="shared" si="29" ref="J172:J182">IF(L172=1,"",IF(D172=0,IF(I172*G172=1,-$B$64,-1.645),IF(D172=1,IF(I172*D172=1,$B$64,1.645),NORMSINV(D172))))</f>
        <v>#VALUE!</v>
      </c>
      <c r="K172" s="115">
        <f aca="true" t="shared" si="30" ref="K172:K182">IF(L172=1,"",IF(L186=0,"",J172))</f>
      </c>
      <c r="L172" s="116">
        <v>0</v>
      </c>
      <c r="P172" s="9"/>
      <c r="Q172" s="9"/>
      <c r="R172" s="9"/>
      <c r="S172" s="14"/>
      <c r="T172" s="9"/>
    </row>
    <row r="173" spans="3:20" ht="12.75">
      <c r="C173" s="117">
        <v>-60</v>
      </c>
      <c r="D173" s="39">
        <f>IF(L173=1,"",D105/100)</f>
        <v>0</v>
      </c>
      <c r="E173" s="111">
        <f aca="true" t="shared" si="31" ref="E173:E181">IF(L173=1,0,IF(D173=0,0,IF(D173=1,0,1)))</f>
        <v>0</v>
      </c>
      <c r="F173" s="112">
        <f>IF(L173=1,F174,SUM(D$172:D173))</f>
        <v>0</v>
      </c>
      <c r="G173" s="112">
        <f aca="true" t="shared" si="32" ref="G173:G181">IF(L173=1,"",1-D173)</f>
        <v>1</v>
      </c>
      <c r="H173" s="191">
        <f>IF(L173=1,H172,SUM(G173:G$182))</f>
        <v>4.5</v>
      </c>
      <c r="I173" s="115">
        <f aca="true" t="shared" si="33" ref="I173:I181">IF(L173=1,"",IF((F173*H173)=0,F187,0)+IF((F173*H173)=0,I187,0))</f>
        <v>0</v>
      </c>
      <c r="J173" s="111">
        <f t="shared" si="29"/>
        <v>-1.645</v>
      </c>
      <c r="K173" s="115">
        <f t="shared" si="30"/>
      </c>
      <c r="L173" s="118">
        <f>(L105/100)</f>
        <v>0</v>
      </c>
      <c r="P173" s="9"/>
      <c r="Q173" s="9"/>
      <c r="R173" s="9"/>
      <c r="S173" s="14"/>
      <c r="T173" s="9"/>
    </row>
    <row r="174" spans="3:20" ht="12.75">
      <c r="C174" s="117">
        <v>-30</v>
      </c>
      <c r="D174" s="119">
        <f>IF(L174=1,"",D99/100)</f>
        <v>0</v>
      </c>
      <c r="E174" s="111">
        <f t="shared" si="31"/>
        <v>0</v>
      </c>
      <c r="F174" s="112">
        <f>IF(L174=1,F175,SUM(D$172:D174))</f>
        <v>0</v>
      </c>
      <c r="G174" s="112">
        <f t="shared" si="32"/>
        <v>1</v>
      </c>
      <c r="H174" s="191">
        <f>IF(L174=1,H173,SUM(G174:G$182))</f>
        <v>3.5</v>
      </c>
      <c r="I174" s="120">
        <f t="shared" si="33"/>
        <v>0</v>
      </c>
      <c r="J174" s="111">
        <f t="shared" si="29"/>
        <v>-1.645</v>
      </c>
      <c r="K174" s="120">
        <f t="shared" si="30"/>
      </c>
      <c r="L174" s="121">
        <f>L99/100</f>
        <v>0</v>
      </c>
      <c r="P174" s="9"/>
      <c r="Q174" s="9"/>
      <c r="R174" s="9"/>
      <c r="S174" s="14"/>
      <c r="T174" s="9"/>
    </row>
    <row r="175" spans="3:20" ht="12.75">
      <c r="C175" s="117">
        <v>-15</v>
      </c>
      <c r="D175" s="119">
        <f>IF(L175=1,"",D96/100)</f>
        <v>0</v>
      </c>
      <c r="E175" s="111">
        <f t="shared" si="31"/>
        <v>0</v>
      </c>
      <c r="F175" s="112">
        <f>IF(L175=1,F176,SUM(D$172:D175))</f>
        <v>0</v>
      </c>
      <c r="G175" s="112">
        <f t="shared" si="32"/>
        <v>1</v>
      </c>
      <c r="H175" s="191">
        <f>IF(L175=1,H174,SUM(G175:G$182))</f>
        <v>2.5</v>
      </c>
      <c r="I175" s="120">
        <f t="shared" si="33"/>
        <v>0</v>
      </c>
      <c r="J175" s="111">
        <f t="shared" si="29"/>
        <v>-1.645</v>
      </c>
      <c r="K175" s="120">
        <f t="shared" si="30"/>
      </c>
      <c r="L175" s="121">
        <f>L96/100</f>
        <v>0</v>
      </c>
      <c r="P175" s="9"/>
      <c r="Q175" s="9"/>
      <c r="R175" s="9"/>
      <c r="S175" s="14"/>
      <c r="T175" s="9"/>
    </row>
    <row r="176" spans="3:20" ht="12.75">
      <c r="C176" s="117">
        <v>-5</v>
      </c>
      <c r="D176" s="119">
        <f>IF(L176=1,"",D94/100)</f>
        <v>0</v>
      </c>
      <c r="E176" s="111">
        <f t="shared" si="31"/>
        <v>0</v>
      </c>
      <c r="F176" s="112">
        <f>IF(L176=1,F177,SUM(D$172:D176))</f>
        <v>0</v>
      </c>
      <c r="G176" s="112">
        <f t="shared" si="32"/>
        <v>1</v>
      </c>
      <c r="H176" s="191">
        <f>IF(L176=1,H175,SUM(G176:G$182))</f>
        <v>1.5</v>
      </c>
      <c r="I176" s="120">
        <f t="shared" si="33"/>
        <v>1</v>
      </c>
      <c r="J176" s="111">
        <f t="shared" si="29"/>
        <v>-1.96</v>
      </c>
      <c r="K176" s="120">
        <f t="shared" si="30"/>
        <v>-1.96</v>
      </c>
      <c r="L176" s="121">
        <f>L94/100</f>
        <v>0</v>
      </c>
      <c r="P176" s="9"/>
      <c r="Q176" s="9"/>
      <c r="R176" s="9"/>
      <c r="S176" s="14"/>
      <c r="T176" s="9"/>
    </row>
    <row r="177" spans="3:20" ht="12.75">
      <c r="C177" s="117">
        <v>0</v>
      </c>
      <c r="D177" s="119">
        <f>IF(L177=1,"",D93/100)</f>
        <v>0.5</v>
      </c>
      <c r="E177" s="111">
        <f t="shared" si="31"/>
        <v>1</v>
      </c>
      <c r="F177" s="112">
        <f>IF(L177=1,F178,SUM(D$172:D177))</f>
        <v>0.5</v>
      </c>
      <c r="G177" s="112">
        <f t="shared" si="32"/>
        <v>0.5</v>
      </c>
      <c r="H177" s="191">
        <f>IF(L177=1,H176,SUM(G177:G$182))</f>
        <v>0.5</v>
      </c>
      <c r="I177" s="120">
        <f t="shared" si="33"/>
        <v>0</v>
      </c>
      <c r="J177" s="111">
        <f t="shared" si="29"/>
        <v>5.471417352459603E-10</v>
      </c>
      <c r="K177" s="120">
        <f t="shared" si="30"/>
        <v>5.471417352459603E-10</v>
      </c>
      <c r="L177" s="121">
        <f>L93/100</f>
        <v>0</v>
      </c>
      <c r="P177" s="9"/>
      <c r="Q177" s="9"/>
      <c r="R177" s="9"/>
      <c r="S177" s="14"/>
      <c r="T177" s="9"/>
    </row>
    <row r="178" spans="3:20" ht="12.75">
      <c r="C178" s="117">
        <v>5</v>
      </c>
      <c r="D178" s="119">
        <f>IF(L178=1,"",D92/100)</f>
        <v>1</v>
      </c>
      <c r="E178" s="111">
        <f t="shared" si="31"/>
        <v>0</v>
      </c>
      <c r="F178" s="112">
        <f>IF(L178=1,F179,SUM(D$172:D178))</f>
        <v>1.5</v>
      </c>
      <c r="G178" s="112">
        <f t="shared" si="32"/>
        <v>0</v>
      </c>
      <c r="H178" s="191">
        <f>IF(L178=1,H177,SUM(G178:G$182))</f>
        <v>0</v>
      </c>
      <c r="I178" s="120">
        <f t="shared" si="33"/>
        <v>1</v>
      </c>
      <c r="J178" s="111">
        <f t="shared" si="29"/>
        <v>1.96</v>
      </c>
      <c r="K178" s="120">
        <f t="shared" si="30"/>
        <v>1.96</v>
      </c>
      <c r="L178" s="121">
        <f>L92/100</f>
        <v>0</v>
      </c>
      <c r="P178" s="9"/>
      <c r="Q178" s="9"/>
      <c r="R178" s="9"/>
      <c r="S178" s="14"/>
      <c r="T178" s="9"/>
    </row>
    <row r="179" spans="3:20" ht="12.75">
      <c r="C179" s="117">
        <v>15</v>
      </c>
      <c r="D179" s="119">
        <f>IF(L179=1,"",D90/100)</f>
        <v>1</v>
      </c>
      <c r="E179" s="111">
        <f t="shared" si="31"/>
        <v>0</v>
      </c>
      <c r="F179" s="112">
        <f>IF(L179=1,F180,SUM(D$172:D179))</f>
        <v>2.5</v>
      </c>
      <c r="G179" s="112">
        <f t="shared" si="32"/>
        <v>0</v>
      </c>
      <c r="H179" s="191">
        <f>IF(L179=1,H178,SUM(G179:G$182))</f>
        <v>0</v>
      </c>
      <c r="I179" s="120">
        <f t="shared" si="33"/>
        <v>0</v>
      </c>
      <c r="J179" s="111">
        <f t="shared" si="29"/>
        <v>1.645</v>
      </c>
      <c r="K179" s="120">
        <f t="shared" si="30"/>
      </c>
      <c r="L179" s="121">
        <f>L90/100</f>
        <v>0</v>
      </c>
      <c r="P179" s="9"/>
      <c r="Q179" s="9"/>
      <c r="R179" s="9"/>
      <c r="S179" s="14"/>
      <c r="T179" s="9"/>
    </row>
    <row r="180" spans="3:20" ht="12.75">
      <c r="C180" s="117">
        <v>30</v>
      </c>
      <c r="D180" s="119">
        <f>IF(L180=1,"",D87/100)</f>
        <v>1</v>
      </c>
      <c r="E180" s="111">
        <f t="shared" si="31"/>
        <v>0</v>
      </c>
      <c r="F180" s="112">
        <f>IF(L180=1,F181,SUM(D$172:D180))</f>
        <v>3.5</v>
      </c>
      <c r="G180" s="112">
        <f t="shared" si="32"/>
        <v>0</v>
      </c>
      <c r="H180" s="191">
        <f>IF(L180=1,H179,SUM(G180:G$182))</f>
        <v>0</v>
      </c>
      <c r="I180" s="120">
        <f t="shared" si="33"/>
        <v>0</v>
      </c>
      <c r="J180" s="111">
        <f t="shared" si="29"/>
        <v>1.645</v>
      </c>
      <c r="K180" s="120">
        <f t="shared" si="30"/>
      </c>
      <c r="L180" s="121">
        <f>L87/100</f>
        <v>0</v>
      </c>
      <c r="P180" s="9"/>
      <c r="Q180" s="9"/>
      <c r="R180" s="9"/>
      <c r="S180" s="14"/>
      <c r="T180" s="9"/>
    </row>
    <row r="181" spans="3:20" ht="13.5" thickBot="1">
      <c r="C181" s="117">
        <v>60</v>
      </c>
      <c r="D181" s="122">
        <f>IF(L181=1,"",D81/100)</f>
        <v>1</v>
      </c>
      <c r="E181" s="111">
        <f t="shared" si="31"/>
        <v>0</v>
      </c>
      <c r="F181" s="112">
        <f>IF(L181=1,F182,SUM(D$172:D181))</f>
        <v>4.5</v>
      </c>
      <c r="G181" s="112">
        <f t="shared" si="32"/>
        <v>0</v>
      </c>
      <c r="H181" s="191">
        <f>IF(L181=1,H180,SUM(G181:G$182))</f>
        <v>0</v>
      </c>
      <c r="I181" s="123">
        <f t="shared" si="33"/>
        <v>0</v>
      </c>
      <c r="J181" s="111">
        <f t="shared" si="29"/>
        <v>1.645</v>
      </c>
      <c r="K181" s="123">
        <f t="shared" si="30"/>
      </c>
      <c r="L181" s="124">
        <f>L81/100</f>
        <v>0</v>
      </c>
      <c r="P181" s="9"/>
      <c r="Q181" s="9"/>
      <c r="R181" s="9"/>
      <c r="S181" s="14"/>
      <c r="T181" s="9"/>
    </row>
    <row r="182" spans="3:20" ht="13.5" thickBot="1">
      <c r="C182" s="125">
        <v>90</v>
      </c>
      <c r="D182" s="111">
        <v>1</v>
      </c>
      <c r="E182" s="111">
        <v>0</v>
      </c>
      <c r="F182" s="112">
        <v>50</v>
      </c>
      <c r="G182" s="112">
        <v>0</v>
      </c>
      <c r="H182" s="191">
        <v>0</v>
      </c>
      <c r="I182" s="120">
        <f>IF(I184=0,1,IF(I184&gt;1,"",IF(E240=0,1,0)))</f>
      </c>
      <c r="J182" s="111" t="e">
        <f t="shared" si="29"/>
        <v>#VALUE!</v>
      </c>
      <c r="K182" s="123">
        <f t="shared" si="30"/>
      </c>
      <c r="L182" s="116">
        <v>0</v>
      </c>
      <c r="P182" s="9"/>
      <c r="Q182" s="9"/>
      <c r="R182" s="9"/>
      <c r="S182" s="14"/>
      <c r="T182" s="9"/>
    </row>
    <row r="183" spans="3:117" ht="13.5" thickBot="1">
      <c r="C183" s="110"/>
      <c r="D183" s="111"/>
      <c r="E183" s="114">
        <f>SUM(E173:E181)</f>
        <v>1</v>
      </c>
      <c r="F183" s="112"/>
      <c r="G183" s="111"/>
      <c r="H183" s="191" t="s">
        <v>110</v>
      </c>
      <c r="I183" s="114">
        <f>SUM(I172:I182)</f>
        <v>2</v>
      </c>
      <c r="J183" s="111"/>
      <c r="K183" s="114">
        <f>SUM(K173:K181)</f>
        <v>5.471416653080041E-10</v>
      </c>
      <c r="L183" s="116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</row>
    <row r="184" spans="3:117" ht="13.5" thickBot="1">
      <c r="C184" s="110"/>
      <c r="D184" s="111"/>
      <c r="E184" s="111"/>
      <c r="F184" s="112"/>
      <c r="G184" s="111"/>
      <c r="H184" s="191" t="s">
        <v>109</v>
      </c>
      <c r="I184" s="114">
        <f>SUM(I173:I181)</f>
        <v>2</v>
      </c>
      <c r="J184" s="111"/>
      <c r="K184" s="112"/>
      <c r="L184" s="116"/>
      <c r="P184" s="9"/>
      <c r="Q184" s="9"/>
      <c r="R184" s="9"/>
      <c r="S184" s="14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</row>
    <row r="185" spans="3:117" ht="13.5" thickBot="1">
      <c r="C185" s="110"/>
      <c r="D185" s="111" t="s">
        <v>49</v>
      </c>
      <c r="E185" s="111" t="s">
        <v>50</v>
      </c>
      <c r="F185" s="112"/>
      <c r="G185" s="111" t="s">
        <v>49</v>
      </c>
      <c r="H185" s="191" t="s">
        <v>50</v>
      </c>
      <c r="I185" s="111"/>
      <c r="J185" s="111" t="s">
        <v>53</v>
      </c>
      <c r="K185" s="112"/>
      <c r="L185" s="116" t="s">
        <v>54</v>
      </c>
      <c r="P185" s="9"/>
      <c r="Q185" s="9"/>
      <c r="R185" s="9"/>
      <c r="S185" s="14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</row>
    <row r="186" spans="3:117" ht="13.5" thickBot="1">
      <c r="C186" s="110">
        <v>-90</v>
      </c>
      <c r="D186" s="111"/>
      <c r="E186" s="111"/>
      <c r="F186" s="112"/>
      <c r="G186" s="111"/>
      <c r="H186" s="191"/>
      <c r="I186" s="111"/>
      <c r="J186" s="126">
        <f>SUM(I172:I$172)</f>
        <v>0</v>
      </c>
      <c r="K186" s="115">
        <f>SUM(I172:I$182)</f>
        <v>2</v>
      </c>
      <c r="L186" s="127">
        <f aca="true" t="shared" si="34" ref="L186:L196">IF(L172=1,"",(IF(J186*K186=0,0,1)))</f>
        <v>0</v>
      </c>
      <c r="P186" s="9"/>
      <c r="Q186" s="9"/>
      <c r="R186" s="9"/>
      <c r="S186" s="14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</row>
    <row r="187" spans="3:117" ht="12.75">
      <c r="C187" s="128">
        <v>-60</v>
      </c>
      <c r="D187" s="37">
        <f aca="true" t="shared" si="35" ref="D187:D195">(F173-F172)+(F173-F174)</f>
        <v>0</v>
      </c>
      <c r="E187" s="37">
        <f aca="true" t="shared" si="36" ref="E187:E195">(F173-F172)*(F173-F174)</f>
        <v>0</v>
      </c>
      <c r="F187" s="37">
        <f aca="true" t="shared" si="37" ref="F187:F195">IF(F173&lt;&gt;0,0,IF(D187=0,0,IF(E187=0,1,0)))</f>
        <v>0</v>
      </c>
      <c r="G187" s="37">
        <f aca="true" t="shared" si="38" ref="G187:G195">(H173-H172)+(H173-H174)</f>
        <v>-44.5</v>
      </c>
      <c r="H187" s="173">
        <f aca="true" t="shared" si="39" ref="H187:H195">(H173-H172)*(H173-H174)</f>
        <v>-45.5</v>
      </c>
      <c r="I187" s="37">
        <f aca="true" t="shared" si="40" ref="I187:I195">IF(H173&lt;&gt;0,0,IF(G187=0,0,IF(H187=0,1,0)))</f>
        <v>0</v>
      </c>
      <c r="J187" s="129">
        <f>SUM(I$172:I173)</f>
        <v>0</v>
      </c>
      <c r="K187" s="120">
        <f>SUM(I173:I$182)</f>
        <v>2</v>
      </c>
      <c r="L187" s="127">
        <f t="shared" si="34"/>
        <v>0</v>
      </c>
      <c r="P187" s="9"/>
      <c r="Q187" s="9"/>
      <c r="R187" s="9"/>
      <c r="S187" s="14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</row>
    <row r="188" spans="3:117" ht="12.75">
      <c r="C188" s="110">
        <v>-30</v>
      </c>
      <c r="D188" s="112">
        <f t="shared" si="35"/>
        <v>0</v>
      </c>
      <c r="E188" s="112">
        <f t="shared" si="36"/>
        <v>0</v>
      </c>
      <c r="F188" s="112">
        <f t="shared" si="37"/>
        <v>0</v>
      </c>
      <c r="G188" s="112">
        <f t="shared" si="38"/>
        <v>0</v>
      </c>
      <c r="H188" s="190">
        <f t="shared" si="39"/>
        <v>-1</v>
      </c>
      <c r="I188" s="112">
        <f t="shared" si="40"/>
        <v>0</v>
      </c>
      <c r="J188" s="129">
        <f>SUM(I$172:I174)</f>
        <v>0</v>
      </c>
      <c r="K188" s="120">
        <f>SUM(I174:I$182)</f>
        <v>2</v>
      </c>
      <c r="L188" s="116">
        <f t="shared" si="34"/>
        <v>0</v>
      </c>
      <c r="R188" s="9"/>
      <c r="S188" s="14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</row>
    <row r="189" spans="3:117" ht="12.75">
      <c r="C189" s="110">
        <v>-15</v>
      </c>
      <c r="D189" s="112">
        <f t="shared" si="35"/>
        <v>0</v>
      </c>
      <c r="E189" s="112">
        <f t="shared" si="36"/>
        <v>0</v>
      </c>
      <c r="F189" s="112">
        <f t="shared" si="37"/>
        <v>0</v>
      </c>
      <c r="G189" s="112">
        <f t="shared" si="38"/>
        <v>0</v>
      </c>
      <c r="H189" s="190">
        <f t="shared" si="39"/>
        <v>-1</v>
      </c>
      <c r="I189" s="112">
        <f t="shared" si="40"/>
        <v>0</v>
      </c>
      <c r="J189" s="129">
        <f>SUM(I$172:I175)</f>
        <v>0</v>
      </c>
      <c r="K189" s="120">
        <f>SUM(I175:I$182)</f>
        <v>2</v>
      </c>
      <c r="L189" s="116">
        <f t="shared" si="34"/>
        <v>0</v>
      </c>
      <c r="R189" s="9"/>
      <c r="S189" s="14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</row>
    <row r="190" spans="3:117" ht="12.75">
      <c r="C190" s="110">
        <v>-5</v>
      </c>
      <c r="D190" s="112">
        <f t="shared" si="35"/>
        <v>-0.5</v>
      </c>
      <c r="E190" s="112">
        <f t="shared" si="36"/>
        <v>0</v>
      </c>
      <c r="F190" s="112">
        <f t="shared" si="37"/>
        <v>1</v>
      </c>
      <c r="G190" s="112">
        <f t="shared" si="38"/>
        <v>0</v>
      </c>
      <c r="H190" s="190">
        <f t="shared" si="39"/>
        <v>-1</v>
      </c>
      <c r="I190" s="112">
        <f t="shared" si="40"/>
        <v>0</v>
      </c>
      <c r="J190" s="129">
        <f>SUM(I$172:I176)</f>
        <v>1</v>
      </c>
      <c r="K190" s="120">
        <f>SUM(I176:I$182)</f>
        <v>2</v>
      </c>
      <c r="L190" s="116">
        <f t="shared" si="34"/>
        <v>1</v>
      </c>
      <c r="O190" s="1"/>
      <c r="P190" s="1"/>
      <c r="Q190" s="1"/>
      <c r="R190" s="9"/>
      <c r="S190" s="14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</row>
    <row r="191" spans="3:117" ht="12.75">
      <c r="C191" s="110">
        <v>0</v>
      </c>
      <c r="D191" s="112">
        <f t="shared" si="35"/>
        <v>-0.5</v>
      </c>
      <c r="E191" s="112">
        <f t="shared" si="36"/>
        <v>-0.5</v>
      </c>
      <c r="F191" s="112">
        <f t="shared" si="37"/>
        <v>0</v>
      </c>
      <c r="G191" s="112">
        <f t="shared" si="38"/>
        <v>-0.5</v>
      </c>
      <c r="H191" s="190">
        <f t="shared" si="39"/>
        <v>-0.5</v>
      </c>
      <c r="I191" s="112">
        <f t="shared" si="40"/>
        <v>0</v>
      </c>
      <c r="J191" s="129">
        <f>SUM(I$172:I177)</f>
        <v>1</v>
      </c>
      <c r="K191" s="120">
        <f>SUM(I177:I$182)</f>
        <v>1</v>
      </c>
      <c r="L191" s="116">
        <f t="shared" si="34"/>
        <v>1</v>
      </c>
      <c r="R191" s="9"/>
      <c r="S191" s="14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</row>
    <row r="192" spans="3:117" ht="12.75">
      <c r="C192" s="110">
        <v>5</v>
      </c>
      <c r="D192" s="112">
        <f t="shared" si="35"/>
        <v>0</v>
      </c>
      <c r="E192" s="112">
        <f t="shared" si="36"/>
        <v>-1</v>
      </c>
      <c r="F192" s="112">
        <f t="shared" si="37"/>
        <v>0</v>
      </c>
      <c r="G192" s="112">
        <f t="shared" si="38"/>
        <v>-0.5</v>
      </c>
      <c r="H192" s="190">
        <f t="shared" si="39"/>
        <v>0</v>
      </c>
      <c r="I192" s="112">
        <f t="shared" si="40"/>
        <v>1</v>
      </c>
      <c r="J192" s="129">
        <f>SUM(I$172:I178)</f>
        <v>2</v>
      </c>
      <c r="K192" s="120">
        <f>SUM(I178:I$182)</f>
        <v>1</v>
      </c>
      <c r="L192" s="116">
        <f t="shared" si="34"/>
        <v>1</v>
      </c>
      <c r="P192" s="9"/>
      <c r="Q192" s="9"/>
      <c r="R192" s="9"/>
      <c r="S192" s="14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</row>
    <row r="193" spans="3:20" ht="12.75">
      <c r="C193" s="110">
        <v>15</v>
      </c>
      <c r="D193" s="112">
        <f t="shared" si="35"/>
        <v>0</v>
      </c>
      <c r="E193" s="112">
        <f t="shared" si="36"/>
        <v>-1</v>
      </c>
      <c r="F193" s="112">
        <f t="shared" si="37"/>
        <v>0</v>
      </c>
      <c r="G193" s="112">
        <f t="shared" si="38"/>
        <v>0</v>
      </c>
      <c r="H193" s="190">
        <f t="shared" si="39"/>
        <v>0</v>
      </c>
      <c r="I193" s="112">
        <f t="shared" si="40"/>
        <v>0</v>
      </c>
      <c r="J193" s="129">
        <f>SUM(I$172:I179)</f>
        <v>2</v>
      </c>
      <c r="K193" s="120">
        <f>SUM(I179:I$182)</f>
        <v>0</v>
      </c>
      <c r="L193" s="116">
        <f t="shared" si="34"/>
        <v>0</v>
      </c>
      <c r="P193" s="9"/>
      <c r="Q193" s="9"/>
      <c r="R193" s="9"/>
      <c r="S193" s="14"/>
      <c r="T193" s="9"/>
    </row>
    <row r="194" spans="3:20" ht="12.75">
      <c r="C194" s="110">
        <v>30</v>
      </c>
      <c r="D194" s="112">
        <f t="shared" si="35"/>
        <v>0</v>
      </c>
      <c r="E194" s="112">
        <f t="shared" si="36"/>
        <v>-1</v>
      </c>
      <c r="F194" s="112">
        <f t="shared" si="37"/>
        <v>0</v>
      </c>
      <c r="G194" s="112">
        <f t="shared" si="38"/>
        <v>0</v>
      </c>
      <c r="H194" s="190">
        <f t="shared" si="39"/>
        <v>0</v>
      </c>
      <c r="I194" s="112">
        <f t="shared" si="40"/>
        <v>0</v>
      </c>
      <c r="J194" s="129">
        <f>SUM(I$172:I180)</f>
        <v>2</v>
      </c>
      <c r="K194" s="120">
        <f>SUM(I180:I$182)</f>
        <v>0</v>
      </c>
      <c r="L194" s="116">
        <f t="shared" si="34"/>
        <v>0</v>
      </c>
      <c r="P194" s="9"/>
      <c r="Q194" s="9"/>
      <c r="R194" s="9"/>
      <c r="S194" s="14"/>
      <c r="T194" s="9"/>
    </row>
    <row r="195" spans="3:20" ht="13.5" thickBot="1">
      <c r="C195" s="130">
        <v>60</v>
      </c>
      <c r="D195" s="131">
        <f t="shared" si="35"/>
        <v>-44.5</v>
      </c>
      <c r="E195" s="131">
        <f t="shared" si="36"/>
        <v>-45.5</v>
      </c>
      <c r="F195" s="131">
        <f t="shared" si="37"/>
        <v>0</v>
      </c>
      <c r="G195" s="131">
        <f t="shared" si="38"/>
        <v>0</v>
      </c>
      <c r="H195" s="192">
        <f t="shared" si="39"/>
        <v>0</v>
      </c>
      <c r="I195" s="131">
        <f t="shared" si="40"/>
        <v>0</v>
      </c>
      <c r="J195" s="129">
        <f>SUM(I$172:I181)</f>
        <v>2</v>
      </c>
      <c r="K195" s="120">
        <f>SUM(I181:I$182)</f>
        <v>0</v>
      </c>
      <c r="L195" s="132">
        <f t="shared" si="34"/>
        <v>0</v>
      </c>
      <c r="P195" s="9"/>
      <c r="Q195" s="9"/>
      <c r="R195" s="9"/>
      <c r="S195" s="14"/>
      <c r="T195" s="9"/>
    </row>
    <row r="196" spans="3:20" ht="13.5" thickBot="1">
      <c r="C196" s="110">
        <v>90</v>
      </c>
      <c r="D196" s="111"/>
      <c r="E196" s="111"/>
      <c r="F196" s="112"/>
      <c r="G196" s="111"/>
      <c r="H196" s="191"/>
      <c r="I196" s="111"/>
      <c r="J196" s="133">
        <f>SUM(I$172:I182)</f>
        <v>2</v>
      </c>
      <c r="K196" s="123">
        <f>SUM(I$182:I182)</f>
        <v>0</v>
      </c>
      <c r="L196" s="132">
        <f t="shared" si="34"/>
        <v>0</v>
      </c>
      <c r="P196" s="9"/>
      <c r="Q196" s="9"/>
      <c r="R196" s="9"/>
      <c r="S196" s="14"/>
      <c r="T196" s="9"/>
    </row>
    <row r="197" spans="3:20" ht="13.5" thickBot="1">
      <c r="C197" s="110"/>
      <c r="D197" s="111"/>
      <c r="E197" s="111"/>
      <c r="F197" s="112"/>
      <c r="G197" s="111"/>
      <c r="H197" s="191"/>
      <c r="I197" s="111"/>
      <c r="J197" s="111"/>
      <c r="K197" s="112"/>
      <c r="L197" s="134">
        <f>SUM(L186:L196)</f>
        <v>3</v>
      </c>
      <c r="P197" s="9"/>
      <c r="Q197" s="9"/>
      <c r="R197" s="9"/>
      <c r="S197" s="14"/>
      <c r="T197" s="9"/>
    </row>
    <row r="198" spans="3:20" ht="12.75">
      <c r="C198" s="110"/>
      <c r="D198" s="111"/>
      <c r="E198" s="111"/>
      <c r="F198" s="112"/>
      <c r="G198" s="111"/>
      <c r="H198" s="191"/>
      <c r="I198" s="111"/>
      <c r="J198" s="111"/>
      <c r="K198" s="112"/>
      <c r="L198" s="116"/>
      <c r="P198" s="9"/>
      <c r="Q198" s="9"/>
      <c r="R198" s="9"/>
      <c r="S198" s="14"/>
      <c r="T198" s="9"/>
    </row>
    <row r="199" spans="3:20" ht="13.5" thickBot="1">
      <c r="C199" s="110"/>
      <c r="D199" s="111" t="s">
        <v>56</v>
      </c>
      <c r="E199" s="111"/>
      <c r="F199" s="112"/>
      <c r="G199" s="111"/>
      <c r="H199" s="193" t="s">
        <v>59</v>
      </c>
      <c r="I199" s="163" t="s">
        <v>1</v>
      </c>
      <c r="J199" s="111"/>
      <c r="K199" s="161" t="s">
        <v>120</v>
      </c>
      <c r="L199" s="116"/>
      <c r="P199" s="9"/>
      <c r="Q199" s="9"/>
      <c r="R199" s="9"/>
      <c r="S199" s="14"/>
      <c r="T199" s="9"/>
    </row>
    <row r="200" spans="3:20" ht="13.5" thickBot="1">
      <c r="C200" s="110"/>
      <c r="D200" s="111" t="s">
        <v>57</v>
      </c>
      <c r="E200" s="111"/>
      <c r="F200" s="112">
        <f>SLOPE(K172:K182,C172:C182)</f>
        <v>0.392</v>
      </c>
      <c r="G200" s="111"/>
      <c r="H200" s="193">
        <f>IF(I184=2,IF(L197=2,D214,IF(L197=3,J210,-F201/F200)),IF(L197=2,J210,-F201/F200))</f>
        <v>-6.978849185938389E-10</v>
      </c>
      <c r="I200" s="163">
        <f>IF(I184=2,IF(L197=2,0.5/F200,IF(L197=3,J211,1/F200)),IF(L197=2,J211,1/F200))</f>
        <v>1.2755102037255688</v>
      </c>
      <c r="J200" s="111"/>
      <c r="K200" s="135">
        <f>H240+(-H242*F200+H243*J242*(((H242^2)/H241)+F200^2/L197-((H243^2)*(J242^2)/(L197*H241)))^(1/2))/((F200^2)-((H243^2)*(J242^2)/H241))</f>
        <v>4.361561002316128E-09</v>
      </c>
      <c r="L200" s="136">
        <f>H240+(-H242*F200-H243*J242*((H242^2/H241)+F200^2/L197-(H243^2*J242^2/(L197*H241)))^(1/2))/(F200^2-(H243^2*J242^2/H241))</f>
        <v>-5.292074038554231E-09</v>
      </c>
      <c r="P200" s="9"/>
      <c r="Q200" s="9"/>
      <c r="R200" s="9"/>
      <c r="S200" s="14"/>
      <c r="T200" s="9"/>
    </row>
    <row r="201" spans="3:20" ht="12.75">
      <c r="C201" s="110"/>
      <c r="D201" s="111" t="s">
        <v>58</v>
      </c>
      <c r="E201" s="111"/>
      <c r="F201" s="112">
        <f>INTERCEPT(K172:K182,C172:C182)</f>
        <v>1.8238055510266804E-10</v>
      </c>
      <c r="G201" s="111"/>
      <c r="H201" s="191"/>
      <c r="I201" s="111"/>
      <c r="J201" s="111"/>
      <c r="K201" s="112">
        <f>AVERAGE(K200:L200)</f>
        <v>-4.6525651811905117E-10</v>
      </c>
      <c r="L201" s="116"/>
      <c r="P201" s="9"/>
      <c r="Q201" s="9"/>
      <c r="R201" s="9"/>
      <c r="S201" s="14"/>
      <c r="T201" s="9"/>
    </row>
    <row r="202" spans="3:20" ht="13.5" thickBot="1">
      <c r="C202" s="110"/>
      <c r="D202" s="111"/>
      <c r="E202" s="111"/>
      <c r="F202" s="112"/>
      <c r="G202" s="111"/>
      <c r="H202" s="191" t="s">
        <v>88</v>
      </c>
      <c r="I202" s="111"/>
      <c r="J202" s="111"/>
      <c r="K202" s="112"/>
      <c r="L202" s="116"/>
      <c r="P202" s="9"/>
      <c r="Q202" s="9"/>
      <c r="R202" s="9"/>
      <c r="S202" s="14"/>
      <c r="T202" s="9"/>
    </row>
    <row r="203" spans="3:20" ht="13.5" thickBot="1">
      <c r="C203" s="113">
        <f aca="true" t="shared" si="41" ref="C203:C213">IF(E203="","",1)</f>
      </c>
      <c r="D203" s="115">
        <f aca="true" t="shared" si="42" ref="D203:D213">IF(L172=1,"",C186*L186)</f>
        <v>0</v>
      </c>
      <c r="E203" s="126">
        <f aca="true" t="shared" si="43" ref="E203:E213">IF(K172=$B$64,"",K172)</f>
      </c>
      <c r="F203" s="39">
        <f aca="true" t="shared" si="44" ref="F203:F213">IF(K172=-$B$64,"",K172)</f>
      </c>
      <c r="G203" s="111"/>
      <c r="H203" s="191"/>
      <c r="I203" s="111"/>
      <c r="J203" s="111"/>
      <c r="K203" s="115">
        <f aca="true" t="shared" si="45" ref="K203:K213">IF(F203="","",1)</f>
      </c>
      <c r="L203" s="118">
        <f aca="true" t="shared" si="46" ref="L203:L213">IF(K172=$B$64,"",IF(K172=-$B$64,"",IF(K172="","",C172)))</f>
      </c>
      <c r="P203" s="9"/>
      <c r="Q203" s="9"/>
      <c r="R203" s="9"/>
      <c r="S203" s="14"/>
      <c r="T203" s="9"/>
    </row>
    <row r="204" spans="3:20" ht="12.75">
      <c r="C204" s="113">
        <f t="shared" si="41"/>
      </c>
      <c r="D204" s="126">
        <f t="shared" si="42"/>
        <v>0</v>
      </c>
      <c r="E204" s="126">
        <f t="shared" si="43"/>
      </c>
      <c r="F204" s="39">
        <f t="shared" si="44"/>
      </c>
      <c r="G204" s="111" t="s">
        <v>57</v>
      </c>
      <c r="H204" s="191">
        <f>IF(C214&lt;2,-10,SLOPE(E203:E213,$C$172:$C$182))</f>
        <v>0.39200000010942837</v>
      </c>
      <c r="I204" s="111" t="s">
        <v>59</v>
      </c>
      <c r="J204" s="111">
        <f>-H205/H204</f>
        <v>-1.3957698371876779E-09</v>
      </c>
      <c r="K204" s="115">
        <f t="shared" si="45"/>
      </c>
      <c r="L204" s="118">
        <f t="shared" si="46"/>
      </c>
      <c r="P204" s="9"/>
      <c r="Q204" s="9"/>
      <c r="R204" s="9"/>
      <c r="S204" s="14"/>
      <c r="T204" s="9"/>
    </row>
    <row r="205" spans="3:20" ht="12.75">
      <c r="C205" s="117">
        <f t="shared" si="41"/>
      </c>
      <c r="D205" s="129">
        <f t="shared" si="42"/>
        <v>0</v>
      </c>
      <c r="E205" s="129">
        <f t="shared" si="43"/>
      </c>
      <c r="F205" s="119">
        <f t="shared" si="44"/>
      </c>
      <c r="G205" s="111" t="s">
        <v>58</v>
      </c>
      <c r="H205" s="191">
        <f>IF(C214&lt;2,-10000,INTERCEPT(E203:E213,$C$172:$C$182))</f>
        <v>5.471417763303066E-10</v>
      </c>
      <c r="I205" s="111" t="s">
        <v>1</v>
      </c>
      <c r="J205" s="111">
        <f>1/H204</f>
        <v>2.5510204074511376</v>
      </c>
      <c r="K205" s="120">
        <f t="shared" si="45"/>
      </c>
      <c r="L205" s="121">
        <f t="shared" si="46"/>
      </c>
      <c r="P205" s="9"/>
      <c r="Q205" s="9"/>
      <c r="R205" s="9"/>
      <c r="S205" s="14"/>
      <c r="T205" s="9"/>
    </row>
    <row r="206" spans="3:20" ht="12.75">
      <c r="C206" s="117">
        <f t="shared" si="41"/>
      </c>
      <c r="D206" s="129">
        <f t="shared" si="42"/>
        <v>0</v>
      </c>
      <c r="E206" s="129">
        <f t="shared" si="43"/>
      </c>
      <c r="F206" s="119">
        <f t="shared" si="44"/>
      </c>
      <c r="G206" s="111"/>
      <c r="H206" s="191"/>
      <c r="I206" s="111"/>
      <c r="J206" s="111"/>
      <c r="K206" s="120">
        <f t="shared" si="45"/>
      </c>
      <c r="L206" s="121">
        <f t="shared" si="46"/>
      </c>
      <c r="P206" s="9"/>
      <c r="Q206" s="9"/>
      <c r="R206" s="9"/>
      <c r="S206" s="14"/>
      <c r="T206" s="9"/>
    </row>
    <row r="207" spans="3:20" ht="12.75">
      <c r="C207" s="117">
        <f t="shared" si="41"/>
        <v>1</v>
      </c>
      <c r="D207" s="129">
        <f t="shared" si="42"/>
        <v>-5</v>
      </c>
      <c r="E207" s="129">
        <f t="shared" si="43"/>
        <v>-1.96</v>
      </c>
      <c r="F207" s="119">
        <f t="shared" si="44"/>
      </c>
      <c r="G207" s="111" t="s">
        <v>57</v>
      </c>
      <c r="H207" s="191">
        <f>IF(K214&lt;2,-10,SLOPE(F203:F213,$C$172:$C$182))</f>
        <v>0.39199999989057177</v>
      </c>
      <c r="I207" s="111" t="s">
        <v>59</v>
      </c>
      <c r="J207" s="111">
        <f>-H208/H207</f>
        <v>-1.3957687050863092E-09</v>
      </c>
      <c r="K207" s="120">
        <f t="shared" si="45"/>
      </c>
      <c r="L207" s="121">
        <f t="shared" si="46"/>
      </c>
      <c r="P207" s="9"/>
      <c r="Q207" s="9"/>
      <c r="R207" s="9"/>
      <c r="S207" s="14"/>
      <c r="T207" s="9"/>
    </row>
    <row r="208" spans="3:20" ht="12.75">
      <c r="C208" s="117">
        <f t="shared" si="41"/>
        <v>1</v>
      </c>
      <c r="D208" s="129">
        <f t="shared" si="42"/>
        <v>0</v>
      </c>
      <c r="E208" s="129">
        <f t="shared" si="43"/>
        <v>5.471417352459603E-10</v>
      </c>
      <c r="F208" s="119">
        <f t="shared" si="44"/>
        <v>5.471417352459603E-10</v>
      </c>
      <c r="G208" s="111" t="s">
        <v>58</v>
      </c>
      <c r="H208" s="191">
        <f>IF(K214&lt;2,-10000,INTERCEPT(F203:F213,$C$172:$C$182))</f>
        <v>5.471413322410967E-10</v>
      </c>
      <c r="I208" s="111" t="s">
        <v>1</v>
      </c>
      <c r="J208" s="111">
        <f>1/H207</f>
        <v>2.551020408875392</v>
      </c>
      <c r="K208" s="120">
        <f t="shared" si="45"/>
        <v>1</v>
      </c>
      <c r="L208" s="121">
        <f t="shared" si="46"/>
        <v>0</v>
      </c>
      <c r="P208" s="9"/>
      <c r="Q208" s="9"/>
      <c r="R208" s="9"/>
      <c r="S208" s="14"/>
      <c r="T208" s="9"/>
    </row>
    <row r="209" spans="3:20" ht="12.75">
      <c r="C209" s="117">
        <f>IF(E209="","",1)</f>
      </c>
      <c r="D209" s="129">
        <f t="shared" si="42"/>
        <v>5</v>
      </c>
      <c r="E209" s="129">
        <f t="shared" si="43"/>
      </c>
      <c r="F209" s="119">
        <f t="shared" si="44"/>
        <v>1.96</v>
      </c>
      <c r="G209" s="111"/>
      <c r="H209" s="191"/>
      <c r="I209" s="111"/>
      <c r="J209" s="111"/>
      <c r="K209" s="120">
        <f t="shared" si="45"/>
        <v>1</v>
      </c>
      <c r="L209" s="121">
        <f t="shared" si="46"/>
      </c>
      <c r="P209" s="9"/>
      <c r="Q209" s="9"/>
      <c r="R209" s="9"/>
      <c r="S209" s="14"/>
      <c r="T209" s="9"/>
    </row>
    <row r="210" spans="3:20" ht="12.75">
      <c r="C210" s="117">
        <f t="shared" si="41"/>
      </c>
      <c r="D210" s="129">
        <f t="shared" si="42"/>
        <v>0</v>
      </c>
      <c r="E210" s="129">
        <f t="shared" si="43"/>
      </c>
      <c r="F210" s="119">
        <f t="shared" si="44"/>
      </c>
      <c r="G210" s="111"/>
      <c r="H210" s="191"/>
      <c r="I210" s="111" t="s">
        <v>59</v>
      </c>
      <c r="J210" s="111">
        <f>((IF(H204&gt;H207,J204,J207))+L214)/2</f>
        <v>-6.978849185938389E-10</v>
      </c>
      <c r="K210" s="120">
        <f t="shared" si="45"/>
      </c>
      <c r="L210" s="121">
        <f t="shared" si="46"/>
      </c>
      <c r="P210" s="9"/>
      <c r="Q210" s="9"/>
      <c r="R210" s="9"/>
      <c r="S210" s="14"/>
      <c r="T210" s="9"/>
    </row>
    <row r="211" spans="3:20" ht="12.75">
      <c r="C211" s="117">
        <f t="shared" si="41"/>
      </c>
      <c r="D211" s="129">
        <f t="shared" si="42"/>
        <v>0</v>
      </c>
      <c r="E211" s="129">
        <f t="shared" si="43"/>
      </c>
      <c r="F211" s="119">
        <f t="shared" si="44"/>
      </c>
      <c r="G211" s="111"/>
      <c r="H211" s="191"/>
      <c r="I211" s="111" t="s">
        <v>1</v>
      </c>
      <c r="J211" s="111">
        <f>(IF(H204&gt;H207,J205,J208))/2</f>
        <v>1.2755102037255688</v>
      </c>
      <c r="K211" s="120">
        <f t="shared" si="45"/>
      </c>
      <c r="L211" s="121">
        <f t="shared" si="46"/>
      </c>
      <c r="P211" s="9"/>
      <c r="Q211" s="9"/>
      <c r="R211" s="9"/>
      <c r="S211" s="14"/>
      <c r="T211" s="9"/>
    </row>
    <row r="212" spans="3:20" ht="13.5" thickBot="1">
      <c r="C212" s="125">
        <f t="shared" si="41"/>
      </c>
      <c r="D212" s="133">
        <f t="shared" si="42"/>
        <v>0</v>
      </c>
      <c r="E212" s="133">
        <f t="shared" si="43"/>
      </c>
      <c r="F212" s="122">
        <f t="shared" si="44"/>
      </c>
      <c r="G212" s="111"/>
      <c r="H212" s="191"/>
      <c r="I212" s="111"/>
      <c r="J212" s="111"/>
      <c r="K212" s="123">
        <f t="shared" si="45"/>
      </c>
      <c r="L212" s="124">
        <f t="shared" si="46"/>
      </c>
      <c r="P212" s="9"/>
      <c r="Q212" s="9"/>
      <c r="R212" s="9"/>
      <c r="S212" s="14"/>
      <c r="T212" s="9"/>
    </row>
    <row r="213" spans="3:20" ht="13.5" thickBot="1">
      <c r="C213" s="125">
        <f t="shared" si="41"/>
      </c>
      <c r="D213" s="123">
        <f t="shared" si="42"/>
        <v>0</v>
      </c>
      <c r="E213" s="135">
        <f t="shared" si="43"/>
      </c>
      <c r="F213" s="137">
        <f t="shared" si="44"/>
      </c>
      <c r="G213" s="111"/>
      <c r="H213" s="191"/>
      <c r="I213" s="111"/>
      <c r="J213" s="111"/>
      <c r="K213" s="123">
        <f t="shared" si="45"/>
      </c>
      <c r="L213" s="124">
        <f t="shared" si="46"/>
      </c>
      <c r="P213" s="9"/>
      <c r="Q213" s="9"/>
      <c r="R213" s="9"/>
      <c r="S213" s="14"/>
      <c r="T213" s="9"/>
    </row>
    <row r="214" spans="3:20" ht="13.5" thickBot="1">
      <c r="C214" s="138">
        <f>SUM(C203:C213)</f>
        <v>2</v>
      </c>
      <c r="D214" s="114">
        <f>SUM(D203:D213)/L197</f>
        <v>0</v>
      </c>
      <c r="E214" s="111"/>
      <c r="F214" s="112"/>
      <c r="G214" s="111"/>
      <c r="H214" s="181" t="s">
        <v>89</v>
      </c>
      <c r="I214" s="80"/>
      <c r="J214" s="111"/>
      <c r="K214" s="114">
        <f>SUM(K203:K213)</f>
        <v>2</v>
      </c>
      <c r="L214" s="134">
        <f>SUM(L203:L213)</f>
        <v>0</v>
      </c>
      <c r="P214" s="9"/>
      <c r="Q214" s="9"/>
      <c r="R214" s="9"/>
      <c r="S214" s="14"/>
      <c r="T214" s="9"/>
    </row>
    <row r="215" spans="3:20" ht="12.75">
      <c r="C215" s="97"/>
      <c r="D215" s="79"/>
      <c r="E215" s="93">
        <f aca="true" t="shared" si="47" ref="E215:E225">IF(L186&lt;&gt;1,"",IF(D172=1,"",D172))</f>
      </c>
      <c r="F215" s="94">
        <f aca="true" t="shared" si="48" ref="F215:F225">IF(L186&lt;&gt;1,"",IF(D172=0,"",D172))</f>
      </c>
      <c r="G215" s="80"/>
      <c r="H215" s="181"/>
      <c r="I215" s="80"/>
      <c r="J215" s="80"/>
      <c r="K215" s="79"/>
      <c r="L215" s="84"/>
      <c r="P215" s="9"/>
      <c r="Q215" s="9"/>
      <c r="R215" s="9"/>
      <c r="S215" s="14"/>
      <c r="T215" s="9"/>
    </row>
    <row r="216" spans="3:20" ht="12.75">
      <c r="C216" s="97"/>
      <c r="D216" s="79"/>
      <c r="E216" s="93">
        <f t="shared" si="47"/>
      </c>
      <c r="F216" s="94">
        <f t="shared" si="48"/>
      </c>
      <c r="G216" s="80" t="s">
        <v>57</v>
      </c>
      <c r="H216" s="181">
        <f>IF(C214&lt;2,-10,SLOPE(E215:E225,$C$172:$C$182))</f>
        <v>0.1</v>
      </c>
      <c r="I216" s="80" t="s">
        <v>59</v>
      </c>
      <c r="J216" s="80">
        <f>(0.5-H217)/H216</f>
        <v>0</v>
      </c>
      <c r="K216" s="79"/>
      <c r="L216" s="84"/>
      <c r="P216" s="9"/>
      <c r="Q216" s="9"/>
      <c r="R216" s="9"/>
      <c r="S216" s="14"/>
      <c r="T216" s="9"/>
    </row>
    <row r="217" spans="3:20" ht="12.75">
      <c r="C217" s="97"/>
      <c r="D217" s="79"/>
      <c r="E217" s="97">
        <f t="shared" si="47"/>
      </c>
      <c r="F217" s="84">
        <f t="shared" si="48"/>
      </c>
      <c r="G217" s="80" t="s">
        <v>58</v>
      </c>
      <c r="H217" s="181">
        <f>IF(C214&lt;2,-10000,INTERCEPT(E215:E225,$C$172:$C$182))</f>
        <v>0.5</v>
      </c>
      <c r="I217" s="80" t="s">
        <v>1</v>
      </c>
      <c r="J217" s="80">
        <f>ABS(0.5-NORMDIST(1,0,1,TRUE))/H216</f>
        <v>3.4134474024100414</v>
      </c>
      <c r="K217" s="79"/>
      <c r="L217" s="84"/>
      <c r="P217" s="9"/>
      <c r="Q217" s="9"/>
      <c r="R217" s="9"/>
      <c r="S217" s="14"/>
      <c r="T217" s="9"/>
    </row>
    <row r="218" spans="3:20" ht="12.75">
      <c r="C218" s="97"/>
      <c r="D218" s="79"/>
      <c r="E218" s="97">
        <f t="shared" si="47"/>
      </c>
      <c r="F218" s="84">
        <f t="shared" si="48"/>
      </c>
      <c r="G218" s="80"/>
      <c r="H218" s="181"/>
      <c r="I218" s="80"/>
      <c r="J218" s="80"/>
      <c r="K218" s="79"/>
      <c r="L218" s="84"/>
      <c r="P218" s="9"/>
      <c r="Q218" s="9"/>
      <c r="R218" s="9"/>
      <c r="S218" s="14"/>
      <c r="T218" s="9"/>
    </row>
    <row r="219" spans="3:20" ht="12.75">
      <c r="C219" s="97"/>
      <c r="D219" s="79"/>
      <c r="E219" s="97">
        <f t="shared" si="47"/>
        <v>0</v>
      </c>
      <c r="F219" s="84">
        <f t="shared" si="48"/>
      </c>
      <c r="G219" s="80" t="s">
        <v>57</v>
      </c>
      <c r="H219" s="194">
        <f>IF(K214&lt;2,-10,SLOPE(F215:F225,$C$172:$C$182))</f>
        <v>0.1</v>
      </c>
      <c r="I219" s="80" t="s">
        <v>59</v>
      </c>
      <c r="J219" s="80">
        <f>(0.5-H220)/H219</f>
        <v>0</v>
      </c>
      <c r="K219" s="79"/>
      <c r="L219" s="84"/>
      <c r="P219" s="9"/>
      <c r="Q219" s="9"/>
      <c r="R219" s="9"/>
      <c r="S219" s="14"/>
      <c r="T219" s="9"/>
    </row>
    <row r="220" spans="3:20" ht="12.75">
      <c r="C220" s="97"/>
      <c r="D220" s="79"/>
      <c r="E220" s="97">
        <f t="shared" si="47"/>
        <v>0.5</v>
      </c>
      <c r="F220" s="84">
        <f t="shared" si="48"/>
        <v>0.5</v>
      </c>
      <c r="G220" s="80" t="s">
        <v>58</v>
      </c>
      <c r="H220" s="181">
        <f>IF(K214&lt;2,-10000,INTERCEPT(F215:F225,$C$172:$C$182))</f>
        <v>0.5</v>
      </c>
      <c r="I220" s="80" t="s">
        <v>1</v>
      </c>
      <c r="J220" s="80">
        <f>ABS(0.5-NORMDIST(1,0,1,TRUE))/H219</f>
        <v>3.4134474024100414</v>
      </c>
      <c r="K220" s="79"/>
      <c r="L220" s="84"/>
      <c r="P220" s="9"/>
      <c r="Q220" s="9"/>
      <c r="R220" s="9"/>
      <c r="S220" s="14"/>
      <c r="T220" s="9"/>
    </row>
    <row r="221" spans="3:20" ht="12.75">
      <c r="C221" s="97"/>
      <c r="D221" s="79"/>
      <c r="E221" s="97">
        <f t="shared" si="47"/>
      </c>
      <c r="F221" s="84">
        <f t="shared" si="48"/>
        <v>1</v>
      </c>
      <c r="G221" s="80"/>
      <c r="H221" s="181"/>
      <c r="I221" s="80"/>
      <c r="J221" s="80"/>
      <c r="K221" s="79"/>
      <c r="L221" s="84"/>
      <c r="P221" s="9"/>
      <c r="Q221" s="9"/>
      <c r="R221" s="9"/>
      <c r="S221" s="14"/>
      <c r="T221" s="9"/>
    </row>
    <row r="222" spans="3:20" ht="12.75">
      <c r="C222" s="97"/>
      <c r="D222" s="79"/>
      <c r="E222" s="97">
        <f t="shared" si="47"/>
      </c>
      <c r="F222" s="84">
        <f t="shared" si="48"/>
      </c>
      <c r="G222" s="80"/>
      <c r="H222" s="181"/>
      <c r="I222" s="80" t="s">
        <v>59</v>
      </c>
      <c r="J222" s="80">
        <f>((IF(H216&gt;H219,J216,J219))+L214)/2</f>
        <v>0</v>
      </c>
      <c r="K222" s="79"/>
      <c r="L222" s="84"/>
      <c r="P222" s="9"/>
      <c r="Q222" s="9"/>
      <c r="R222" s="9"/>
      <c r="S222" s="14"/>
      <c r="T222" s="9"/>
    </row>
    <row r="223" spans="3:20" ht="12.75">
      <c r="C223" s="97"/>
      <c r="D223" s="79"/>
      <c r="E223" s="97">
        <f t="shared" si="47"/>
      </c>
      <c r="F223" s="84">
        <f t="shared" si="48"/>
      </c>
      <c r="G223" s="80"/>
      <c r="H223" s="181"/>
      <c r="I223" s="80" t="s">
        <v>1</v>
      </c>
      <c r="J223" s="80">
        <f>(IF(H216&gt;H219,J217,J220))/2</f>
        <v>1.7067237012050207</v>
      </c>
      <c r="K223" s="79"/>
      <c r="L223" s="84"/>
      <c r="P223" s="9"/>
      <c r="Q223" s="9"/>
      <c r="R223" s="9"/>
      <c r="S223" s="14"/>
      <c r="T223" s="9"/>
    </row>
    <row r="224" spans="3:20" ht="12.75">
      <c r="C224" s="97"/>
      <c r="D224" s="79"/>
      <c r="E224" s="98">
        <f t="shared" si="47"/>
      </c>
      <c r="F224" s="139">
        <f t="shared" si="48"/>
      </c>
      <c r="G224" s="80"/>
      <c r="H224" s="181"/>
      <c r="I224" s="80"/>
      <c r="J224" s="80"/>
      <c r="K224" s="79"/>
      <c r="L224" s="84"/>
      <c r="P224" s="9"/>
      <c r="Q224" s="9"/>
      <c r="R224" s="9"/>
      <c r="S224" s="14"/>
      <c r="T224" s="9"/>
    </row>
    <row r="225" spans="4:20" ht="12.75">
      <c r="D225" s="11"/>
      <c r="E225" s="98">
        <f t="shared" si="47"/>
      </c>
      <c r="F225" s="139">
        <f t="shared" si="48"/>
      </c>
      <c r="P225" s="9"/>
      <c r="Q225" s="9"/>
      <c r="R225" s="9"/>
      <c r="S225" s="14"/>
      <c r="T225" s="9"/>
    </row>
    <row r="226" spans="4:20" ht="12.75">
      <c r="D226" s="11"/>
      <c r="P226" s="9"/>
      <c r="Q226" s="9"/>
      <c r="R226" s="9"/>
      <c r="S226" s="14"/>
      <c r="T226" s="9"/>
    </row>
    <row r="227" spans="4:20" ht="13.5" thickBot="1">
      <c r="D227" s="11"/>
      <c r="P227" s="9"/>
      <c r="Q227" s="9"/>
      <c r="R227" s="9"/>
      <c r="S227" s="9"/>
      <c r="T227" s="9"/>
    </row>
    <row r="228" spans="5:20" ht="13.5" thickBot="1">
      <c r="E228" s="37" t="s">
        <v>72</v>
      </c>
      <c r="H228" s="191" t="s">
        <v>62</v>
      </c>
      <c r="I228" s="111" t="s">
        <v>63</v>
      </c>
      <c r="J228" s="111" t="s">
        <v>64</v>
      </c>
      <c r="P228" s="9"/>
      <c r="Q228" s="9"/>
      <c r="R228" s="9"/>
      <c r="S228" s="9"/>
      <c r="T228" s="9"/>
    </row>
    <row r="229" spans="3:20" ht="12.75">
      <c r="C229" s="110"/>
      <c r="D229" s="126" t="s">
        <v>60</v>
      </c>
      <c r="E229" s="37" t="s">
        <v>72</v>
      </c>
      <c r="F229" s="39" t="s">
        <v>61</v>
      </c>
      <c r="G229" s="111"/>
      <c r="H229" s="195">
        <f aca="true" t="shared" si="49" ref="H229:H239">IF(L172=1,"",IF(L186=0,"",C172))</f>
      </c>
      <c r="I229" s="115">
        <f aca="true" t="shared" si="50" ref="I229:I239">IF(L172=1,"",IF(L186=0,"",C172*F$200+F$201))</f>
      </c>
      <c r="J229" s="115">
        <f aca="true" t="shared" si="51" ref="J229:J239">IF(L172=1,"",IF(L186=0,"",(I229-K172)^2))</f>
      </c>
      <c r="K229" s="112"/>
      <c r="L229" s="118">
        <f aca="true" t="shared" si="52" ref="L229:L239">IF(L172=1,"",IF(L186=0,"",(L186*C186)^2))</f>
      </c>
      <c r="P229" s="9"/>
      <c r="Q229" s="9"/>
      <c r="R229" s="9"/>
      <c r="S229" s="14"/>
      <c r="T229" s="9"/>
    </row>
    <row r="230" spans="3:20" ht="12.75">
      <c r="C230" s="110"/>
      <c r="D230" s="129">
        <f aca="true" t="shared" si="53" ref="D230:D238">IF(D173="","",IF(D173=0,1,0))</f>
        <v>1</v>
      </c>
      <c r="E230" s="112">
        <f aca="true" t="shared" si="54" ref="E230:E238">IF(L173=1,"",I173*D173)</f>
        <v>0</v>
      </c>
      <c r="F230" s="119">
        <f aca="true" t="shared" si="55" ref="F230:F238">IF(D173=1,1,0)</f>
        <v>0</v>
      </c>
      <c r="G230" s="111"/>
      <c r="H230" s="196">
        <f t="shared" si="49"/>
      </c>
      <c r="I230" s="120">
        <f t="shared" si="50"/>
      </c>
      <c r="J230" s="120">
        <f t="shared" si="51"/>
      </c>
      <c r="K230" s="112"/>
      <c r="L230" s="121">
        <f t="shared" si="52"/>
      </c>
      <c r="P230" s="9"/>
      <c r="Q230" s="9"/>
      <c r="R230" s="9"/>
      <c r="S230" s="14"/>
      <c r="T230" s="9"/>
    </row>
    <row r="231" spans="3:20" ht="12.75">
      <c r="C231" s="110"/>
      <c r="D231" s="129">
        <f t="shared" si="53"/>
        <v>1</v>
      </c>
      <c r="E231" s="112">
        <f t="shared" si="54"/>
        <v>0</v>
      </c>
      <c r="F231" s="119">
        <f t="shared" si="55"/>
        <v>0</v>
      </c>
      <c r="G231" s="111"/>
      <c r="H231" s="196">
        <f t="shared" si="49"/>
      </c>
      <c r="I231" s="120">
        <f t="shared" si="50"/>
      </c>
      <c r="J231" s="120">
        <f t="shared" si="51"/>
      </c>
      <c r="K231" s="112"/>
      <c r="L231" s="121">
        <f t="shared" si="52"/>
      </c>
      <c r="P231" s="9"/>
      <c r="Q231" s="9"/>
      <c r="R231" s="9"/>
      <c r="S231" s="14"/>
      <c r="T231" s="9"/>
    </row>
    <row r="232" spans="3:20" ht="12.75">
      <c r="C232" s="110"/>
      <c r="D232" s="129">
        <f t="shared" si="53"/>
        <v>1</v>
      </c>
      <c r="E232" s="112">
        <f t="shared" si="54"/>
        <v>0</v>
      </c>
      <c r="F232" s="119">
        <f t="shared" si="55"/>
        <v>0</v>
      </c>
      <c r="G232" s="111"/>
      <c r="H232" s="196">
        <f t="shared" si="49"/>
      </c>
      <c r="I232" s="120">
        <f t="shared" si="50"/>
      </c>
      <c r="J232" s="120">
        <f t="shared" si="51"/>
      </c>
      <c r="K232" s="112"/>
      <c r="L232" s="121">
        <f t="shared" si="52"/>
      </c>
      <c r="P232" s="9"/>
      <c r="Q232" s="9"/>
      <c r="R232" s="9"/>
      <c r="S232" s="14"/>
      <c r="T232" s="9"/>
    </row>
    <row r="233" spans="3:20" ht="12.75">
      <c r="C233" s="110"/>
      <c r="D233" s="129">
        <f t="shared" si="53"/>
        <v>1</v>
      </c>
      <c r="E233" s="112">
        <f t="shared" si="54"/>
        <v>0</v>
      </c>
      <c r="F233" s="119">
        <f t="shared" si="55"/>
        <v>0</v>
      </c>
      <c r="G233" s="111"/>
      <c r="H233" s="196">
        <f t="shared" si="49"/>
        <v>-5</v>
      </c>
      <c r="I233" s="120">
        <f t="shared" si="50"/>
        <v>-1.9599999998176194</v>
      </c>
      <c r="J233" s="120">
        <f t="shared" si="51"/>
        <v>3.3262666879557333E-20</v>
      </c>
      <c r="K233" s="112"/>
      <c r="L233" s="121">
        <f t="shared" si="52"/>
        <v>25</v>
      </c>
      <c r="P233" s="9"/>
      <c r="Q233" s="9"/>
      <c r="R233" s="9"/>
      <c r="S233" s="14"/>
      <c r="T233" s="9"/>
    </row>
    <row r="234" spans="3:20" ht="12.75">
      <c r="C234" s="110"/>
      <c r="D234" s="129">
        <f t="shared" si="53"/>
        <v>0</v>
      </c>
      <c r="E234" s="112">
        <f t="shared" si="54"/>
        <v>0</v>
      </c>
      <c r="F234" s="119">
        <f t="shared" si="55"/>
        <v>0</v>
      </c>
      <c r="G234" s="111"/>
      <c r="H234" s="196">
        <f t="shared" si="49"/>
        <v>0</v>
      </c>
      <c r="I234" s="120">
        <f t="shared" si="50"/>
        <v>1.8238055510266804E-10</v>
      </c>
      <c r="J234" s="120">
        <f t="shared" si="51"/>
        <v>1.3305071853952732E-19</v>
      </c>
      <c r="K234" s="112"/>
      <c r="L234" s="121">
        <f t="shared" si="52"/>
        <v>0</v>
      </c>
      <c r="P234" s="9"/>
      <c r="Q234" s="9"/>
      <c r="R234" s="9"/>
      <c r="S234" s="14"/>
      <c r="T234" s="9"/>
    </row>
    <row r="235" spans="3:20" ht="12.75">
      <c r="C235" s="110"/>
      <c r="D235" s="129">
        <f t="shared" si="53"/>
        <v>0</v>
      </c>
      <c r="E235" s="112">
        <f t="shared" si="54"/>
        <v>1</v>
      </c>
      <c r="F235" s="119">
        <f t="shared" si="55"/>
        <v>1</v>
      </c>
      <c r="G235" s="111"/>
      <c r="H235" s="196">
        <f t="shared" si="49"/>
        <v>5</v>
      </c>
      <c r="I235" s="120">
        <f t="shared" si="50"/>
        <v>1.9600000001823805</v>
      </c>
      <c r="J235" s="120">
        <f t="shared" si="51"/>
        <v>3.3262666879557333E-20</v>
      </c>
      <c r="K235" s="112"/>
      <c r="L235" s="121">
        <f t="shared" si="52"/>
        <v>25</v>
      </c>
      <c r="P235" s="9"/>
      <c r="Q235" s="9"/>
      <c r="R235" s="9"/>
      <c r="S235" s="14"/>
      <c r="T235" s="9"/>
    </row>
    <row r="236" spans="3:20" ht="12.75">
      <c r="C236" s="110"/>
      <c r="D236" s="129">
        <f t="shared" si="53"/>
        <v>0</v>
      </c>
      <c r="E236" s="112">
        <f t="shared" si="54"/>
        <v>0</v>
      </c>
      <c r="F236" s="119">
        <f t="shared" si="55"/>
        <v>1</v>
      </c>
      <c r="G236" s="111"/>
      <c r="H236" s="196">
        <f t="shared" si="49"/>
      </c>
      <c r="I236" s="120">
        <f t="shared" si="50"/>
      </c>
      <c r="J236" s="120">
        <f t="shared" si="51"/>
      </c>
      <c r="K236" s="112"/>
      <c r="L236" s="121">
        <f t="shared" si="52"/>
      </c>
      <c r="P236" s="9"/>
      <c r="Q236" s="9"/>
      <c r="R236" s="9"/>
      <c r="S236" s="14"/>
      <c r="T236" s="9"/>
    </row>
    <row r="237" spans="3:20" ht="12.75">
      <c r="C237" s="110"/>
      <c r="D237" s="129">
        <f t="shared" si="53"/>
        <v>0</v>
      </c>
      <c r="E237" s="112">
        <f t="shared" si="54"/>
        <v>0</v>
      </c>
      <c r="F237" s="119">
        <f t="shared" si="55"/>
        <v>1</v>
      </c>
      <c r="G237" s="111"/>
      <c r="H237" s="196">
        <f t="shared" si="49"/>
      </c>
      <c r="I237" s="120">
        <f t="shared" si="50"/>
      </c>
      <c r="J237" s="120">
        <f t="shared" si="51"/>
      </c>
      <c r="K237" s="112"/>
      <c r="L237" s="121">
        <f t="shared" si="52"/>
      </c>
      <c r="P237" s="9"/>
      <c r="Q237" s="9"/>
      <c r="R237" s="9"/>
      <c r="S237" s="14"/>
      <c r="T237" s="9"/>
    </row>
    <row r="238" spans="3:20" ht="12.75">
      <c r="C238" s="110"/>
      <c r="D238" s="129">
        <f t="shared" si="53"/>
        <v>0</v>
      </c>
      <c r="E238" s="112">
        <f t="shared" si="54"/>
        <v>0</v>
      </c>
      <c r="F238" s="119">
        <f t="shared" si="55"/>
        <v>1</v>
      </c>
      <c r="G238" s="111"/>
      <c r="H238" s="196">
        <f t="shared" si="49"/>
      </c>
      <c r="I238" s="120">
        <f t="shared" si="50"/>
      </c>
      <c r="J238" s="120">
        <f t="shared" si="51"/>
      </c>
      <c r="K238" s="112"/>
      <c r="L238" s="121">
        <f t="shared" si="52"/>
      </c>
      <c r="P238" s="9"/>
      <c r="Q238" s="9"/>
      <c r="R238" s="9"/>
      <c r="S238" s="14"/>
      <c r="T238" s="9"/>
    </row>
    <row r="239" spans="3:20" ht="13.5" thickBot="1">
      <c r="C239" s="110"/>
      <c r="D239" s="129"/>
      <c r="E239" s="112"/>
      <c r="F239" s="119"/>
      <c r="G239" s="111"/>
      <c r="H239" s="197">
        <f t="shared" si="49"/>
      </c>
      <c r="I239" s="123">
        <f t="shared" si="50"/>
      </c>
      <c r="J239" s="123">
        <f t="shared" si="51"/>
      </c>
      <c r="K239" s="112"/>
      <c r="L239" s="124">
        <f t="shared" si="52"/>
      </c>
      <c r="P239" s="9"/>
      <c r="Q239" s="9"/>
      <c r="R239" s="9"/>
      <c r="S239" s="14"/>
      <c r="T239" s="9"/>
    </row>
    <row r="240" spans="3:20" ht="13.5" thickBot="1">
      <c r="C240" s="110"/>
      <c r="D240" s="133">
        <f>SUM(D230:D238)</f>
        <v>4</v>
      </c>
      <c r="E240" s="131">
        <f>SUM(E230:E238)</f>
        <v>1</v>
      </c>
      <c r="F240" s="122">
        <f>SUM(F230:F238)</f>
        <v>4</v>
      </c>
      <c r="G240" s="111" t="s">
        <v>69</v>
      </c>
      <c r="H240" s="198">
        <f>AVERAGE(H230:H238)</f>
        <v>0</v>
      </c>
      <c r="I240" s="111"/>
      <c r="J240" s="111"/>
      <c r="K240" s="112"/>
      <c r="L240" s="116"/>
      <c r="P240" s="9"/>
      <c r="Q240" s="9"/>
      <c r="R240" s="9"/>
      <c r="S240" s="14"/>
      <c r="T240" s="9"/>
    </row>
    <row r="241" spans="3:20" ht="13.5" thickBot="1">
      <c r="C241" s="110"/>
      <c r="D241" s="111"/>
      <c r="E241" s="111" t="s">
        <v>73</v>
      </c>
      <c r="F241" s="112"/>
      <c r="G241" s="111" t="s">
        <v>68</v>
      </c>
      <c r="H241" s="198">
        <f>L241-L197*(H240)^2</f>
        <v>50</v>
      </c>
      <c r="I241" s="111" t="s">
        <v>65</v>
      </c>
      <c r="J241" s="111">
        <f>SUM(J230:J238)/L197</f>
        <v>6.6525350766214E-20</v>
      </c>
      <c r="K241" s="112"/>
      <c r="L241" s="134">
        <f>SUM(L230:L238)</f>
        <v>50</v>
      </c>
      <c r="P241" s="9"/>
      <c r="Q241" s="9"/>
      <c r="R241" s="9"/>
      <c r="S241" s="14"/>
      <c r="T241" s="9"/>
    </row>
    <row r="242" spans="3:20" ht="13.5" thickBot="1">
      <c r="C242" s="110"/>
      <c r="D242" s="111"/>
      <c r="E242" s="111"/>
      <c r="F242" s="112"/>
      <c r="G242" s="111" t="s">
        <v>70</v>
      </c>
      <c r="H242" s="191">
        <f>AVERAGE(K173:K181)</f>
        <v>1.8238055510266804E-10</v>
      </c>
      <c r="I242" s="111" t="s">
        <v>66</v>
      </c>
      <c r="J242" s="114">
        <f>SQRT(J241/(L197-2))</f>
        <v>2.579250875083965E-10</v>
      </c>
      <c r="K242" s="112"/>
      <c r="L242" s="116"/>
      <c r="P242" s="9"/>
      <c r="Q242" s="9"/>
      <c r="R242" s="9"/>
      <c r="S242" s="14"/>
      <c r="T242" s="9"/>
    </row>
    <row r="243" spans="3:20" ht="12.75">
      <c r="C243" s="110"/>
      <c r="D243" s="111"/>
      <c r="E243" s="111"/>
      <c r="F243" s="112"/>
      <c r="G243" s="111" t="s">
        <v>71</v>
      </c>
      <c r="H243" s="191">
        <f>TINV(0.05,J243)</f>
        <v>12.7061503008008</v>
      </c>
      <c r="I243" s="111" t="s">
        <v>67</v>
      </c>
      <c r="J243" s="111">
        <f>L197-2</f>
        <v>1</v>
      </c>
      <c r="K243" s="112"/>
      <c r="L243" s="116"/>
      <c r="P243" s="9"/>
      <c r="Q243" s="9"/>
      <c r="R243" s="9"/>
      <c r="S243" s="14"/>
      <c r="T243" s="9"/>
    </row>
    <row r="244" spans="16:20" ht="12.75">
      <c r="P244" s="9"/>
      <c r="Q244" s="9"/>
      <c r="R244" s="9"/>
      <c r="S244" s="14"/>
      <c r="T244" s="9"/>
    </row>
    <row r="245" spans="16:20" ht="12.75">
      <c r="P245" s="9"/>
      <c r="Q245" s="9"/>
      <c r="R245" s="9"/>
      <c r="S245" s="14"/>
      <c r="T245" s="9"/>
    </row>
    <row r="246" spans="16:20" ht="12.75">
      <c r="P246" s="9"/>
      <c r="Q246" s="9"/>
      <c r="R246" s="9"/>
      <c r="S246" s="14"/>
      <c r="T246" s="9"/>
    </row>
    <row r="247" spans="13:20" ht="12.75">
      <c r="M247" s="9"/>
      <c r="N247" s="9"/>
      <c r="O247" s="9"/>
      <c r="P247" s="9"/>
      <c r="Q247" s="9"/>
      <c r="R247" s="9"/>
      <c r="S247" s="14"/>
      <c r="T247" s="9"/>
    </row>
    <row r="248" spans="13:20" ht="12.75">
      <c r="M248" s="9"/>
      <c r="N248" s="9"/>
      <c r="O248" s="9"/>
      <c r="P248" s="9"/>
      <c r="Q248" s="9"/>
      <c r="R248" s="9"/>
      <c r="S248" s="14"/>
      <c r="T248" s="9"/>
    </row>
    <row r="249" spans="3:20" ht="12.75">
      <c r="C249" s="60"/>
      <c r="D249" s="41" t="s">
        <v>27</v>
      </c>
      <c r="E249" s="41" t="s">
        <v>14</v>
      </c>
      <c r="F249" s="41" t="s">
        <v>15</v>
      </c>
      <c r="G249" s="61" t="s">
        <v>16</v>
      </c>
      <c r="H249" s="178" t="s">
        <v>28</v>
      </c>
      <c r="I249" s="61" t="s">
        <v>14</v>
      </c>
      <c r="J249" s="61" t="s">
        <v>15</v>
      </c>
      <c r="K249" s="41" t="s">
        <v>16</v>
      </c>
      <c r="L249" s="70" t="s">
        <v>28</v>
      </c>
      <c r="M249" s="9"/>
      <c r="N249" s="9"/>
      <c r="O249" s="9"/>
      <c r="P249" s="9"/>
      <c r="Q249" s="9"/>
      <c r="R249" s="9"/>
      <c r="S249" s="9"/>
      <c r="T249" s="9"/>
    </row>
    <row r="250" spans="3:20" ht="12.75">
      <c r="C250" s="60" t="s">
        <v>29</v>
      </c>
      <c r="D250" s="61">
        <f>E81</f>
        <v>0</v>
      </c>
      <c r="E250" s="61">
        <f>$H81*D250</f>
        <v>0</v>
      </c>
      <c r="F250" s="41">
        <f>$I81*D250</f>
        <v>0</v>
      </c>
      <c r="G250" s="61">
        <f>$J81*D250</f>
        <v>0</v>
      </c>
      <c r="H250" s="178"/>
      <c r="I250" s="61">
        <f>$H81*(G81*($D$4*6-G81)+F81*($D$4*6-F81))/(($D$4*6)^2)</f>
        <v>0</v>
      </c>
      <c r="J250" s="41">
        <f>$I81*(G81*($D$4*6-G81)+F81*($D$4*6-F81))/(($D$4*6)^2)</f>
        <v>0</v>
      </c>
      <c r="K250" s="61">
        <f>$J81*(G81*($D$4*6-G81)+F81*($D$4*6-F81))/(($D$4*6)^2)</f>
        <v>0</v>
      </c>
      <c r="L250" s="70">
        <f>(F81*($D$4*6-F81)+G81*($D$4*6-G81))/(($D$4*6)^2)</f>
        <v>0</v>
      </c>
      <c r="M250" s="9"/>
      <c r="N250" s="9"/>
      <c r="O250" s="9"/>
      <c r="T250" s="9"/>
    </row>
    <row r="251" spans="3:20" ht="12.75">
      <c r="C251" s="60" t="s">
        <v>30</v>
      </c>
      <c r="D251" s="61">
        <f>E87</f>
        <v>0</v>
      </c>
      <c r="E251" s="61">
        <f>$H87*D251</f>
        <v>0</v>
      </c>
      <c r="F251" s="41">
        <f>$I87*D251</f>
        <v>0</v>
      </c>
      <c r="G251" s="61">
        <f>$J87*D251</f>
        <v>0</v>
      </c>
      <c r="H251" s="178"/>
      <c r="I251" s="61">
        <f>$H87*(G87*($D$4*6-G87)+F87*($D$4*6-F87))/(($D$4*6)^2)</f>
        <v>0</v>
      </c>
      <c r="J251" s="41">
        <f>$I87*(G87*($D$4*6-G87)+F87*($D$4*6-F87))/(($D$4*6)^2)</f>
        <v>0</v>
      </c>
      <c r="K251" s="61">
        <f>$J87*(G87*($D$4*6-G87)+F87*($D$4*6-F87))/(($D$4*6)^2)</f>
        <v>0</v>
      </c>
      <c r="L251" s="70">
        <f>(F87*($D$4*6-F87)+G87*($D$4*6-G87))/(($D$4*6)^2)</f>
        <v>0</v>
      </c>
      <c r="M251" s="9"/>
      <c r="N251" s="9"/>
      <c r="O251" s="9"/>
      <c r="T251" s="9"/>
    </row>
    <row r="252" spans="3:20" ht="12.75">
      <c r="C252" s="60" t="s">
        <v>31</v>
      </c>
      <c r="D252" s="61">
        <f>E90</f>
        <v>0</v>
      </c>
      <c r="E252" s="61">
        <f>$H90*D252</f>
        <v>0</v>
      </c>
      <c r="F252" s="41">
        <f>$I90*D252</f>
        <v>0</v>
      </c>
      <c r="G252" s="61">
        <f>$J90*D252</f>
        <v>0</v>
      </c>
      <c r="H252" s="178"/>
      <c r="I252" s="61">
        <f>$H90*(G90*($D$4*6-G90)+F90*($D$4*6-F90))/(($D$4*6)^2)</f>
        <v>0</v>
      </c>
      <c r="J252" s="41">
        <f>$I90*(G90*($D$4*6-G90)+F90*($D$4*6-F90))/(($D$4*6)^2)</f>
        <v>0</v>
      </c>
      <c r="K252" s="61">
        <f>$J90*(G90*($D$4*6-G90)+F90*($D$4*6-F90))/(($D$4*6)^2)</f>
        <v>0</v>
      </c>
      <c r="L252" s="70">
        <f>(F90*($D$4*6-F90)+G90*($D$4*6-G90))/(($D$4*6)^2)</f>
        <v>0</v>
      </c>
      <c r="M252" s="9"/>
      <c r="N252" s="9"/>
      <c r="O252" s="9"/>
      <c r="T252" s="9"/>
    </row>
    <row r="253" spans="3:20" ht="12.75">
      <c r="C253" s="60" t="s">
        <v>32</v>
      </c>
      <c r="D253" s="61">
        <f>E92</f>
        <v>0</v>
      </c>
      <c r="E253" s="61">
        <f>$H92*D253</f>
        <v>0</v>
      </c>
      <c r="F253" s="41">
        <f>$I92*D253</f>
        <v>0</v>
      </c>
      <c r="G253" s="61">
        <f>$J92*D253</f>
        <v>0</v>
      </c>
      <c r="H253" s="178"/>
      <c r="I253" s="61">
        <f>$H92*(G92*($D$4*6-G92)+F92*($D$4*6-F92))/(($D$4*6)^2)</f>
        <v>0</v>
      </c>
      <c r="J253" s="41">
        <f>$I92*(G92*($D$4*6-G92)+F92*($D$4*6-F92))/(($D$4*6)^2)</f>
        <v>0</v>
      </c>
      <c r="K253" s="61">
        <f>$J92*(G92*($D$4*6-G92)+F92*($D$4*6-F92))/(($D$4*6)^2)</f>
        <v>0</v>
      </c>
      <c r="L253" s="70">
        <f>(F92*($D$4*6-F92)+G92*($D$4*6-G92))/(($D$4*6)^2)</f>
        <v>0</v>
      </c>
      <c r="M253" s="9"/>
      <c r="N253" s="9"/>
      <c r="O253" s="9"/>
      <c r="T253" s="9"/>
    </row>
    <row r="254" spans="3:20" ht="12.75">
      <c r="C254" s="60" t="s">
        <v>33</v>
      </c>
      <c r="D254" s="61">
        <f>E93</f>
        <v>0</v>
      </c>
      <c r="E254" s="61">
        <f>$H93*D254</f>
        <v>0</v>
      </c>
      <c r="F254" s="41">
        <f>$I93*D254</f>
        <v>0</v>
      </c>
      <c r="G254" s="61">
        <f>$J93*D254</f>
        <v>0</v>
      </c>
      <c r="H254" s="178"/>
      <c r="I254" s="61">
        <f>$H93*(G93*($D$4*6-G93)+F93*($D$4*6-F93))/(($D$4*6)^2)</f>
        <v>0.5</v>
      </c>
      <c r="J254" s="41">
        <f>$I93*(G93*($D$4*6-G93)+F93*($D$4*6-F93))/(($D$4*6)^2)</f>
        <v>0.5</v>
      </c>
      <c r="K254" s="61">
        <f>$J93*(G93*($D$4*6-G93)+F93*($D$4*6-F93))/(($D$4*6)^2)</f>
        <v>0.5</v>
      </c>
      <c r="L254" s="70">
        <f>(F93*($D$4*6-F93)+G93*($D$4*6-G93))/(($D$4*6)^2)</f>
        <v>0.5</v>
      </c>
      <c r="M254" s="9"/>
      <c r="N254" s="9"/>
      <c r="O254" s="9"/>
      <c r="T254" s="9"/>
    </row>
    <row r="255" spans="3:20" ht="12.75">
      <c r="C255" s="60" t="s">
        <v>34</v>
      </c>
      <c r="D255" s="61">
        <f>E94</f>
        <v>0</v>
      </c>
      <c r="E255" s="61">
        <f>$H94*D255</f>
        <v>0</v>
      </c>
      <c r="F255" s="41">
        <f>$I94*D255</f>
        <v>0</v>
      </c>
      <c r="G255" s="61">
        <f>$J94*D255</f>
        <v>0</v>
      </c>
      <c r="H255" s="178"/>
      <c r="I255" s="61">
        <f>$H94*(G94*($D$4*6-G94)+F94*($D$4*6-F94))/(($D$4*6)^2)</f>
        <v>0</v>
      </c>
      <c r="J255" s="41">
        <f>$I94*(G94*($D$4*6-G94)+F94*($D$4*6-F94))/(($D$4*6)^2)</f>
        <v>0</v>
      </c>
      <c r="K255" s="61">
        <f>$J94*(G94*($D$4*6-G94)+F94*($D$4*6-F94))/(($D$4*6)^2)</f>
        <v>0</v>
      </c>
      <c r="L255" s="70">
        <f>(F94*($D$4*6-F94)+G94*($D$4*6-G94))/(($D$4*6)^2)</f>
        <v>0</v>
      </c>
      <c r="M255" s="9"/>
      <c r="N255" s="9"/>
      <c r="O255" s="9"/>
      <c r="T255" s="9"/>
    </row>
    <row r="256" spans="3:20" ht="12.75">
      <c r="C256" s="60" t="s">
        <v>35</v>
      </c>
      <c r="D256" s="61">
        <f>E96</f>
        <v>0</v>
      </c>
      <c r="E256" s="61">
        <f>$H96*D256</f>
        <v>0</v>
      </c>
      <c r="F256" s="41">
        <f>$I96*D256</f>
        <v>0</v>
      </c>
      <c r="G256" s="61">
        <f>$J96*D256</f>
        <v>0</v>
      </c>
      <c r="H256" s="178"/>
      <c r="I256" s="61">
        <f>$H96*(G96*($D$4*6-G96)+F96*($D$4*6-F96))/(($D$4*6)^2)</f>
        <v>0</v>
      </c>
      <c r="J256" s="41">
        <f>$I96*(G96*($D$4*6-G96)+F96*($D$4*6-F96))/(($D$4*6)^2)</f>
        <v>0</v>
      </c>
      <c r="K256" s="61">
        <f>$J96*(G96*($D$4*6-G96)+F96*($D$4*6-F96))/(($D$4*6)^2)</f>
        <v>0</v>
      </c>
      <c r="L256" s="70">
        <f>(F96*($D$4*6-F96)+G96*($D$4*6-G96))/(($D$4*6)^2)</f>
        <v>0</v>
      </c>
      <c r="M256" s="9"/>
      <c r="N256" s="9"/>
      <c r="O256" s="9"/>
      <c r="T256" s="9"/>
    </row>
    <row r="257" spans="3:20" ht="12.75">
      <c r="C257" s="60" t="s">
        <v>8</v>
      </c>
      <c r="D257" s="61">
        <f>E99</f>
        <v>0</v>
      </c>
      <c r="E257" s="61">
        <f>$H99*D257</f>
        <v>0</v>
      </c>
      <c r="F257" s="41">
        <f>$I99*D257</f>
        <v>0</v>
      </c>
      <c r="G257" s="61">
        <f>$J99*D257</f>
        <v>0</v>
      </c>
      <c r="H257" s="178"/>
      <c r="I257" s="61">
        <f>$H99*(G99*($D$4*6-G99)+F99*($D$4*6-F99))/(($D$4*6)^2)</f>
        <v>0</v>
      </c>
      <c r="J257" s="41">
        <f>$I99*(G99*($D$4*6-G99)+F99*($D$4*6-F99))/(($D$4*6)^2)</f>
        <v>0</v>
      </c>
      <c r="K257" s="61">
        <f>$J99*(G99*($D$4*6-G99)+F99*($D$4*6-F99))/(($D$4*6)^2)</f>
        <v>0</v>
      </c>
      <c r="L257" s="70">
        <f>(F99*($D$4*6-F99)+G99*($D$4*6-G99))/(($D$4*6)^2)</f>
        <v>0</v>
      </c>
      <c r="M257" s="9"/>
      <c r="N257" s="9"/>
      <c r="O257" s="9"/>
      <c r="T257" s="9"/>
    </row>
    <row r="258" spans="3:20" ht="12.75">
      <c r="C258" s="60" t="s">
        <v>7</v>
      </c>
      <c r="D258" s="61">
        <f>E105</f>
        <v>0</v>
      </c>
      <c r="E258" s="61">
        <f>$H105*D258</f>
        <v>0</v>
      </c>
      <c r="F258" s="41">
        <f>$I105*D258</f>
        <v>0</v>
      </c>
      <c r="G258" s="61">
        <f>$J105*D258</f>
        <v>0</v>
      </c>
      <c r="H258" s="178"/>
      <c r="I258" s="61">
        <f>$H105*(G105*($D$4*6-G105)+F105*($D$4*6-F105))/(($D$4*6)^2)</f>
        <v>0</v>
      </c>
      <c r="J258" s="41">
        <f>$I105*(G105*($D$4*6-G105)+F105*($D$4*6-F105))/(($D$4*6)^2)</f>
        <v>0</v>
      </c>
      <c r="K258" s="61">
        <f>$J105*(G105*($D$4*6-G105)+F105*($D$4*6-F105))/(($D$4*6)^2)</f>
        <v>0</v>
      </c>
      <c r="L258" s="70">
        <f>(F105*($D$4*6-F105)+G105*($D$4*6-G105))/(($D$4*6)^2)</f>
        <v>0</v>
      </c>
      <c r="M258" s="9"/>
      <c r="N258" s="9"/>
      <c r="O258" s="9"/>
      <c r="T258" s="9"/>
    </row>
    <row r="259" spans="3:20" ht="12.75">
      <c r="C259" s="60"/>
      <c r="D259" s="61"/>
      <c r="E259" s="61"/>
      <c r="F259" s="41"/>
      <c r="G259" s="61"/>
      <c r="H259" s="178"/>
      <c r="I259" s="61"/>
      <c r="J259" s="61"/>
      <c r="K259" s="41"/>
      <c r="L259" s="70"/>
      <c r="M259" s="9"/>
      <c r="N259" s="9"/>
      <c r="O259" s="9"/>
      <c r="T259" s="9"/>
    </row>
    <row r="260" spans="3:20" ht="12.75">
      <c r="C260" s="60" t="s">
        <v>36</v>
      </c>
      <c r="D260" s="61"/>
      <c r="E260" s="61">
        <f>SUM(E250:E258)</f>
        <v>0</v>
      </c>
      <c r="F260" s="61">
        <f>SUM(F250:F258)</f>
        <v>0</v>
      </c>
      <c r="G260" s="61">
        <f>SUM(G250:G258)</f>
        <v>0</v>
      </c>
      <c r="H260" s="178">
        <f>SUM(D250:D258)</f>
        <v>0</v>
      </c>
      <c r="I260" s="61"/>
      <c r="J260" s="61"/>
      <c r="K260" s="41"/>
      <c r="L260" s="70"/>
      <c r="M260" s="9"/>
      <c r="N260" s="9"/>
      <c r="O260" s="9"/>
      <c r="T260" s="9"/>
    </row>
    <row r="261" spans="3:256" ht="13.5">
      <c r="C261" s="140" t="s">
        <v>2</v>
      </c>
      <c r="D261" s="78"/>
      <c r="E261" s="78">
        <f>E260/3</f>
        <v>0</v>
      </c>
      <c r="F261" s="43">
        <f>F260/5</f>
        <v>0</v>
      </c>
      <c r="G261" s="78">
        <f>G260/7</f>
        <v>0</v>
      </c>
      <c r="H261" s="199">
        <f>H260/9</f>
        <v>0</v>
      </c>
      <c r="I261" s="61"/>
      <c r="J261" s="61"/>
      <c r="K261" s="41"/>
      <c r="L261" s="70"/>
      <c r="M261" s="9"/>
      <c r="N261" s="9"/>
      <c r="O261" s="9"/>
      <c r="T261" s="9"/>
      <c r="DU261" s="13"/>
      <c r="DV261" s="13"/>
      <c r="DW261" s="13"/>
      <c r="EB261" s="13"/>
      <c r="EC261" s="13"/>
      <c r="ED261" s="13"/>
      <c r="EE261" s="13"/>
      <c r="EF261" s="13"/>
      <c r="EG261" s="13"/>
      <c r="EL261" s="13"/>
      <c r="EM261" s="13"/>
      <c r="EN261" s="13"/>
      <c r="EO261" s="13"/>
      <c r="EP261" s="13"/>
      <c r="EQ261" s="13"/>
      <c r="EV261" s="13"/>
      <c r="EW261" s="13"/>
      <c r="EX261" s="13"/>
      <c r="EY261" s="13"/>
      <c r="EZ261" s="13"/>
      <c r="FA261" s="13"/>
      <c r="FF261" s="13"/>
      <c r="FG261" s="13"/>
      <c r="FH261" s="13"/>
      <c r="FI261" s="13"/>
      <c r="FJ261" s="13"/>
      <c r="FK261" s="13"/>
      <c r="FP261" s="13"/>
      <c r="FQ261" s="13"/>
      <c r="FR261" s="13"/>
      <c r="FS261" s="13"/>
      <c r="FT261" s="13"/>
      <c r="FU261" s="13"/>
      <c r="FZ261" s="13"/>
      <c r="GA261" s="13"/>
      <c r="GB261" s="13"/>
      <c r="GC261" s="13"/>
      <c r="GD261" s="13"/>
      <c r="GE261" s="13"/>
      <c r="GJ261" s="13"/>
      <c r="GK261" s="13"/>
      <c r="GL261" s="13"/>
      <c r="GM261" s="13"/>
      <c r="GN261" s="13"/>
      <c r="GO261" s="13"/>
      <c r="GT261" s="13"/>
      <c r="GU261" s="13"/>
      <c r="GV261" s="13"/>
      <c r="GW261" s="13"/>
      <c r="GX261" s="13"/>
      <c r="GY261" s="13"/>
      <c r="HD261" s="13"/>
      <c r="HE261" s="13"/>
      <c r="HF261" s="13"/>
      <c r="HG261" s="13"/>
      <c r="HH261" s="13"/>
      <c r="HI261" s="13"/>
      <c r="HN261" s="13"/>
      <c r="HO261" s="13"/>
      <c r="HP261" s="13"/>
      <c r="HQ261" s="13"/>
      <c r="HR261" s="13"/>
      <c r="HS261" s="13"/>
      <c r="HX261" s="13"/>
      <c r="HY261" s="13"/>
      <c r="HZ261" s="13"/>
      <c r="IA261" s="13"/>
      <c r="IB261" s="13"/>
      <c r="IC261" s="13"/>
      <c r="IH261" s="13"/>
      <c r="II261" s="13"/>
      <c r="IJ261" s="13"/>
      <c r="IK261" s="13"/>
      <c r="IL261" s="13"/>
      <c r="IM261" s="13"/>
      <c r="IR261" s="13"/>
      <c r="IS261" s="13"/>
      <c r="IT261" s="13"/>
      <c r="IU261" s="13"/>
      <c r="IV261" s="13"/>
    </row>
    <row r="262" spans="3:20" ht="12.75">
      <c r="C262" s="60" t="s">
        <v>37</v>
      </c>
      <c r="D262" s="61"/>
      <c r="E262" s="61">
        <f>SQRT(SUM(I250:I258)/($D$4*6-1))/3</f>
        <v>0.10540925533894598</v>
      </c>
      <c r="F262" s="61">
        <f>SQRT(SUM(J250:J258)/($D$4*6-1))/5</f>
        <v>0.06324555320336758</v>
      </c>
      <c r="G262" s="61">
        <f>SQRT(SUM(K250:K258)/($D$4*6-1))/7</f>
        <v>0.045175395145262566</v>
      </c>
      <c r="H262" s="178">
        <f>SQRT(SUM(L250:L258)/($D$4*6-1))/9</f>
        <v>0.03513641844631533</v>
      </c>
      <c r="I262" s="61"/>
      <c r="J262" s="61"/>
      <c r="K262" s="41"/>
      <c r="L262" s="70"/>
      <c r="M262" s="9"/>
      <c r="N262" s="9"/>
      <c r="O262" s="9"/>
      <c r="T262" s="9"/>
    </row>
    <row r="263" spans="3:20" ht="12.75">
      <c r="C263" s="60"/>
      <c r="D263" s="61"/>
      <c r="E263" s="61" t="s">
        <v>84</v>
      </c>
      <c r="F263" s="61" t="s">
        <v>85</v>
      </c>
      <c r="G263" s="61" t="s">
        <v>86</v>
      </c>
      <c r="H263" s="178" t="s">
        <v>87</v>
      </c>
      <c r="I263" s="61"/>
      <c r="J263" s="61"/>
      <c r="K263" s="41"/>
      <c r="L263" s="70"/>
      <c r="M263" s="9"/>
      <c r="N263" s="9"/>
      <c r="O263" s="9"/>
      <c r="T263" s="9"/>
    </row>
    <row r="264" spans="3:256" ht="13.5">
      <c r="C264" s="140" t="s">
        <v>38</v>
      </c>
      <c r="D264" s="78"/>
      <c r="E264" s="78">
        <f>NORMSINV(0.0253/2)*E262+E261</f>
        <v>-0.23577834374303075</v>
      </c>
      <c r="F264" s="78">
        <f>NORMSINV(0.0253/2)*F262+F261</f>
        <v>-0.14146700624581846</v>
      </c>
      <c r="G264" s="78">
        <f>NORMSINV(0.0253/2)*G262+G261</f>
        <v>-0.10104786160415605</v>
      </c>
      <c r="H264" s="199">
        <f>NORMSINV(0.05/2)*H262+H261</f>
        <v>-0.06886607263758836</v>
      </c>
      <c r="I264" s="61"/>
      <c r="J264" s="61"/>
      <c r="K264" s="41"/>
      <c r="L264" s="70"/>
      <c r="M264" s="9"/>
      <c r="N264" s="9"/>
      <c r="O264" s="9"/>
      <c r="T264" s="9"/>
      <c r="DU264" s="13"/>
      <c r="DV264" s="13"/>
      <c r="DW264" s="13"/>
      <c r="EB264" s="13"/>
      <c r="EC264" s="13"/>
      <c r="ED264" s="13"/>
      <c r="EE264" s="13"/>
      <c r="EF264" s="13"/>
      <c r="EG264" s="13"/>
      <c r="EL264" s="13"/>
      <c r="EM264" s="13"/>
      <c r="EN264" s="13"/>
      <c r="EO264" s="13"/>
      <c r="EP264" s="13"/>
      <c r="EQ264" s="13"/>
      <c r="EV264" s="13"/>
      <c r="EW264" s="13"/>
      <c r="EX264" s="13"/>
      <c r="EY264" s="13"/>
      <c r="EZ264" s="13"/>
      <c r="FA264" s="13"/>
      <c r="FF264" s="13"/>
      <c r="FG264" s="13"/>
      <c r="FH264" s="13"/>
      <c r="FI264" s="13"/>
      <c r="FJ264" s="13"/>
      <c r="FK264" s="13"/>
      <c r="FP264" s="13"/>
      <c r="FQ264" s="13"/>
      <c r="FR264" s="13"/>
      <c r="FS264" s="13"/>
      <c r="FT264" s="13"/>
      <c r="FU264" s="13"/>
      <c r="FZ264" s="13"/>
      <c r="GA264" s="13"/>
      <c r="GB264" s="13"/>
      <c r="GC264" s="13"/>
      <c r="GD264" s="13"/>
      <c r="GE264" s="13"/>
      <c r="GJ264" s="13"/>
      <c r="GK264" s="13"/>
      <c r="GL264" s="13"/>
      <c r="GM264" s="13"/>
      <c r="GN264" s="13"/>
      <c r="GO264" s="13"/>
      <c r="GT264" s="13"/>
      <c r="GU264" s="13"/>
      <c r="GV264" s="13"/>
      <c r="GW264" s="13"/>
      <c r="GX264" s="13"/>
      <c r="GY264" s="13"/>
      <c r="HD264" s="13"/>
      <c r="HE264" s="13"/>
      <c r="HF264" s="13"/>
      <c r="HG264" s="13"/>
      <c r="HH264" s="13"/>
      <c r="HI264" s="13"/>
      <c r="HN264" s="13"/>
      <c r="HO264" s="13"/>
      <c r="HP264" s="13"/>
      <c r="HQ264" s="13"/>
      <c r="HR264" s="13"/>
      <c r="HS264" s="13"/>
      <c r="HX264" s="13"/>
      <c r="HY264" s="13"/>
      <c r="HZ264" s="13"/>
      <c r="IA264" s="13"/>
      <c r="IB264" s="13"/>
      <c r="IC264" s="13"/>
      <c r="IH264" s="13"/>
      <c r="II264" s="13"/>
      <c r="IJ264" s="13"/>
      <c r="IK264" s="13"/>
      <c r="IL264" s="13"/>
      <c r="IM264" s="13"/>
      <c r="IR264" s="13"/>
      <c r="IS264" s="13"/>
      <c r="IT264" s="13"/>
      <c r="IU264" s="13"/>
      <c r="IV264" s="13"/>
    </row>
    <row r="265" spans="3:256" ht="13.5">
      <c r="C265" s="140" t="s">
        <v>39</v>
      </c>
      <c r="D265" s="78"/>
      <c r="E265" s="78">
        <f>E261+NORMSINV(1-0.0253/2)*E262</f>
        <v>0.2357783437430304</v>
      </c>
      <c r="F265" s="78">
        <f>F261+NORMSINV(1-0.0253/2)*F262</f>
        <v>0.14146700624581823</v>
      </c>
      <c r="G265" s="78">
        <f>G261+NORMSINV(1-0.0253/2)*G262</f>
        <v>0.1010478616041559</v>
      </c>
      <c r="H265" s="199">
        <f>H261+NORMSINV(1-0.05/2)*H262</f>
        <v>0.06886607263758827</v>
      </c>
      <c r="I265" s="61"/>
      <c r="J265" s="61"/>
      <c r="K265" s="41"/>
      <c r="L265" s="70"/>
      <c r="M265" s="9"/>
      <c r="N265" s="9"/>
      <c r="O265" s="9"/>
      <c r="T265" s="9"/>
      <c r="DU265" s="13"/>
      <c r="DV265" s="13"/>
      <c r="DW265" s="13"/>
      <c r="EB265" s="13"/>
      <c r="EC265" s="13"/>
      <c r="ED265" s="13"/>
      <c r="EE265" s="13"/>
      <c r="EF265" s="13"/>
      <c r="EG265" s="13"/>
      <c r="EL265" s="13"/>
      <c r="EM265" s="13"/>
      <c r="EN265" s="13"/>
      <c r="EO265" s="13"/>
      <c r="EP265" s="13"/>
      <c r="EQ265" s="13"/>
      <c r="EV265" s="13"/>
      <c r="EW265" s="13"/>
      <c r="EX265" s="13"/>
      <c r="EY265" s="13"/>
      <c r="EZ265" s="13"/>
      <c r="FA265" s="13"/>
      <c r="FF265" s="13"/>
      <c r="FG265" s="13"/>
      <c r="FH265" s="13"/>
      <c r="FI265" s="13"/>
      <c r="FJ265" s="13"/>
      <c r="FK265" s="13"/>
      <c r="FP265" s="13"/>
      <c r="FQ265" s="13"/>
      <c r="FR265" s="13"/>
      <c r="FS265" s="13"/>
      <c r="FT265" s="13"/>
      <c r="FU265" s="13"/>
      <c r="FZ265" s="13"/>
      <c r="GA265" s="13"/>
      <c r="GB265" s="13"/>
      <c r="GC265" s="13"/>
      <c r="GD265" s="13"/>
      <c r="GE265" s="13"/>
      <c r="GJ265" s="13"/>
      <c r="GK265" s="13"/>
      <c r="GL265" s="13"/>
      <c r="GM265" s="13"/>
      <c r="GN265" s="13"/>
      <c r="GO265" s="13"/>
      <c r="GT265" s="13"/>
      <c r="GU265" s="13"/>
      <c r="GV265" s="13"/>
      <c r="GW265" s="13"/>
      <c r="GX265" s="13"/>
      <c r="GY265" s="13"/>
      <c r="HD265" s="13"/>
      <c r="HE265" s="13"/>
      <c r="HF265" s="13"/>
      <c r="HG265" s="13"/>
      <c r="HH265" s="13"/>
      <c r="HI265" s="13"/>
      <c r="HN265" s="13"/>
      <c r="HO265" s="13"/>
      <c r="HP265" s="13"/>
      <c r="HQ265" s="13"/>
      <c r="HR265" s="13"/>
      <c r="HS265" s="13"/>
      <c r="HX265" s="13"/>
      <c r="HY265" s="13"/>
      <c r="HZ265" s="13"/>
      <c r="IA265" s="13"/>
      <c r="IB265" s="13"/>
      <c r="IC265" s="13"/>
      <c r="IH265" s="13"/>
      <c r="II265" s="13"/>
      <c r="IJ265" s="13"/>
      <c r="IK265" s="13"/>
      <c r="IL265" s="13"/>
      <c r="IM265" s="13"/>
      <c r="IR265" s="13"/>
      <c r="IS265" s="13"/>
      <c r="IT265" s="13"/>
      <c r="IU265" s="13"/>
      <c r="IV265" s="13"/>
    </row>
    <row r="266" spans="13:20" ht="12.75">
      <c r="M266" s="9"/>
      <c r="N266" s="9"/>
      <c r="O266" s="9"/>
      <c r="T266" s="9"/>
    </row>
    <row r="267" spans="1:20" ht="12.75">
      <c r="A267" s="10"/>
      <c r="C267" s="60" t="s">
        <v>40</v>
      </c>
      <c r="M267" s="9"/>
      <c r="N267" s="9"/>
      <c r="O267" s="9"/>
      <c r="T267" s="9"/>
    </row>
    <row r="268" spans="1:20" ht="12.75">
      <c r="A268" s="10"/>
      <c r="C268" s="60" t="s">
        <v>41</v>
      </c>
      <c r="M268" s="9"/>
      <c r="N268" s="9"/>
      <c r="O268" s="9"/>
      <c r="T268" s="9"/>
    </row>
    <row r="269" spans="1:20" ht="13.5" thickBot="1">
      <c r="A269" s="10"/>
      <c r="C269" s="60" t="s">
        <v>42</v>
      </c>
      <c r="D269" s="61" t="s">
        <v>12</v>
      </c>
      <c r="M269" s="9"/>
      <c r="N269" s="9"/>
      <c r="O269" s="9"/>
      <c r="T269" s="9"/>
    </row>
    <row r="270" spans="1:20" ht="13.5" thickBot="1">
      <c r="A270" s="10"/>
      <c r="C270" s="141">
        <v>0</v>
      </c>
      <c r="D270" s="142">
        <v>5</v>
      </c>
      <c r="M270" s="9"/>
      <c r="N270" s="9"/>
      <c r="O270" s="9"/>
      <c r="T270" s="9"/>
    </row>
    <row r="271" spans="1:20" ht="13.5" thickBot="1">
      <c r="A271" s="10"/>
      <c r="C271" s="60" t="s">
        <v>43</v>
      </c>
      <c r="D271" s="61" t="s">
        <v>44</v>
      </c>
      <c r="M271" s="9"/>
      <c r="N271" s="9"/>
      <c r="O271" s="9"/>
      <c r="T271" s="9"/>
    </row>
    <row r="272" spans="1:20" ht="13.5" thickBot="1">
      <c r="A272" s="10"/>
      <c r="C272" s="143">
        <v>0.2</v>
      </c>
      <c r="M272" s="9"/>
      <c r="N272" s="9"/>
      <c r="O272" s="9"/>
      <c r="T272" s="9"/>
    </row>
    <row r="273" spans="1:23" s="13" customFormat="1" ht="13.5">
      <c r="A273" s="30"/>
      <c r="B273" s="30"/>
      <c r="C273" s="140">
        <f>IF(C272&lt;0.5,C270+0.5*(D270-C270)*(0.5-C272)/(1-C272),C270+0.5*(D270-C270)*(C272-0.5)/(C272))</f>
        <v>0.9375</v>
      </c>
      <c r="D273" s="30"/>
      <c r="E273" s="30"/>
      <c r="G273" s="30"/>
      <c r="H273" s="200"/>
      <c r="I273" s="1"/>
      <c r="J273" s="1"/>
      <c r="K273" s="76"/>
      <c r="L273" s="160"/>
      <c r="M273" s="75"/>
      <c r="N273" s="9"/>
      <c r="O273" s="9"/>
      <c r="P273" s="76"/>
      <c r="Q273" s="76"/>
      <c r="R273" s="76"/>
      <c r="S273" s="76"/>
      <c r="T273" s="9"/>
      <c r="U273" s="76"/>
      <c r="V273" s="76"/>
      <c r="W273" s="76"/>
    </row>
    <row r="274" spans="1:20" ht="12.75">
      <c r="A274" s="10"/>
      <c r="M274" s="9"/>
      <c r="N274" s="9"/>
      <c r="O274" s="9"/>
      <c r="T274" s="9"/>
    </row>
    <row r="275" spans="1:20" ht="12.75">
      <c r="A275" s="10"/>
      <c r="M275" s="9"/>
      <c r="N275" s="9"/>
      <c r="O275" s="9"/>
      <c r="T275" s="9"/>
    </row>
    <row r="276" spans="13:20" ht="12.75">
      <c r="M276" s="9"/>
      <c r="N276" s="9"/>
      <c r="O276" s="9"/>
      <c r="T276" s="9"/>
    </row>
    <row r="277" spans="13:20" ht="12.75">
      <c r="M277" s="9"/>
      <c r="N277" s="9"/>
      <c r="O277" s="9"/>
      <c r="T277" s="9"/>
    </row>
    <row r="278" spans="13:20" ht="12.75">
      <c r="M278" s="9"/>
      <c r="N278" s="9"/>
      <c r="O278" s="9"/>
      <c r="T278" s="9"/>
    </row>
    <row r="279" spans="13:20" ht="12.75">
      <c r="M279" s="9"/>
      <c r="N279" s="9"/>
      <c r="O279" s="9"/>
      <c r="T279" s="9"/>
    </row>
    <row r="280" spans="13:20" ht="12.75">
      <c r="M280" s="9"/>
      <c r="N280" s="9"/>
      <c r="O280" s="9"/>
      <c r="T280" s="9"/>
    </row>
    <row r="281" spans="13:20" ht="12.75">
      <c r="M281" s="9"/>
      <c r="N281" s="9"/>
      <c r="O281" s="9"/>
      <c r="T281" s="9"/>
    </row>
    <row r="282" spans="13:20" ht="12.75">
      <c r="M282" s="9"/>
      <c r="N282" s="9"/>
      <c r="O282" s="9"/>
      <c r="P282" s="9"/>
      <c r="Q282" s="9"/>
      <c r="R282" s="9"/>
      <c r="S282" s="9"/>
      <c r="T282" s="9"/>
    </row>
    <row r="283" spans="1:20" s="71" customFormat="1" ht="12.75">
      <c r="A283" s="144"/>
      <c r="C283" s="145"/>
      <c r="H283" s="144"/>
      <c r="L283" s="146"/>
      <c r="M283" s="147"/>
      <c r="N283" s="147"/>
      <c r="O283" s="147"/>
      <c r="P283" s="147"/>
      <c r="Q283" s="147"/>
      <c r="R283" s="147"/>
      <c r="S283" s="147"/>
      <c r="T283" s="9"/>
    </row>
    <row r="284" spans="13:20" ht="12.75">
      <c r="M284" s="9"/>
      <c r="N284" s="9"/>
      <c r="O284" s="9"/>
      <c r="P284" s="9"/>
      <c r="Q284" s="9"/>
      <c r="R284" s="9"/>
      <c r="S284" s="9"/>
      <c r="T284" s="9"/>
    </row>
    <row r="285" spans="13:20" ht="12.75">
      <c r="M285" s="9"/>
      <c r="N285" s="9"/>
      <c r="O285" s="9"/>
      <c r="P285" s="9"/>
      <c r="Q285" s="9"/>
      <c r="R285" s="9"/>
      <c r="S285" s="9"/>
      <c r="T285" s="9"/>
    </row>
    <row r="325" ht="12.75">
      <c r="IV325" s="11">
        <v>16.25</v>
      </c>
    </row>
    <row r="326" ht="12.75">
      <c r="IV326" s="11">
        <v>15.742232037253382</v>
      </c>
    </row>
    <row r="327" ht="12.75">
      <c r="IV327" s="11">
        <v>12.5</v>
      </c>
    </row>
    <row r="328" ht="12.75">
      <c r="IV328" s="11">
        <v>12.5</v>
      </c>
    </row>
    <row r="329" ht="12.75">
      <c r="IV329" s="11">
        <v>-0.07407407407407407</v>
      </c>
    </row>
    <row r="330" ht="12.75">
      <c r="IV330" s="11">
        <v>2</v>
      </c>
    </row>
    <row r="331" ht="12.75">
      <c r="IV331" s="11">
        <v>2</v>
      </c>
    </row>
    <row r="332" ht="12.75">
      <c r="IV332" s="11">
        <v>9</v>
      </c>
    </row>
    <row r="333" ht="12.75">
      <c r="IV333" s="11">
        <v>3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SISSA-ISAS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toraldo</dc:creator>
  <cp:keywords/>
  <dc:description/>
  <cp:lastModifiedBy>cicciantuono</cp:lastModifiedBy>
  <cp:lastPrinted>2002-06-09T17:16:21Z</cp:lastPrinted>
  <dcterms:created xsi:type="dcterms:W3CDTF">2002-06-07T10:50:51Z</dcterms:created>
  <dcterms:modified xsi:type="dcterms:W3CDTF">2009-06-12T10:39:35Z</dcterms:modified>
  <cp:category/>
  <cp:version/>
  <cp:contentType/>
  <cp:contentStatus/>
</cp:coreProperties>
</file>